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50" windowWidth="14355" windowHeight="7485" tabRatio="556" activeTab="0"/>
  </bookViews>
  <sheets>
    <sheet name="ENTRADA" sheetId="1" r:id="rId1"/>
    <sheet name="CLIENTES" sheetId="2" r:id="rId2"/>
    <sheet name="ORÇAMENTO" sheetId="3" r:id="rId3"/>
    <sheet name="BD_ORÇAMENTO" sheetId="4" r:id="rId4"/>
    <sheet name="ORÇAMENTO JÁ REALIZADO" sheetId="5" r:id="rId5"/>
  </sheets>
  <definedNames>
    <definedName name="_xlnm.Print_Area" localSheetId="2">'ORÇAMENTO'!$A$1:$P$33</definedName>
    <definedName name="_xlnm.Print_Area" localSheetId="4">'ORÇAMENTO JÁ REALIZADO'!$A$1:$R$32</definedName>
  </definedNames>
  <calcPr fullCalcOnLoad="1"/>
</workbook>
</file>

<file path=xl/sharedStrings.xml><?xml version="1.0" encoding="utf-8"?>
<sst xmlns="http://schemas.openxmlformats.org/spreadsheetml/2006/main" count="278" uniqueCount="87">
  <si>
    <t>QUARTO</t>
  </si>
  <si>
    <t>ORDEM DE SERVIÇO</t>
  </si>
  <si>
    <t>MALHA  10X10</t>
  </si>
  <si>
    <t>MALHA 7X7</t>
  </si>
  <si>
    <t>MALHA   5X5</t>
  </si>
  <si>
    <t>VALOR</t>
  </si>
  <si>
    <t>VARANDA</t>
  </si>
  <si>
    <t>CORDA</t>
  </si>
  <si>
    <t>ALTURA</t>
  </si>
  <si>
    <t>LARGU.</t>
  </si>
  <si>
    <t>M²</t>
  </si>
  <si>
    <t>AL.</t>
  </si>
  <si>
    <t>LARG.</t>
  </si>
  <si>
    <t>ALT.</t>
  </si>
  <si>
    <t xml:space="preserve">ALT. </t>
  </si>
  <si>
    <t>AL</t>
  </si>
  <si>
    <t>REDE M-10</t>
  </si>
  <si>
    <t>REDE M-5</t>
  </si>
  <si>
    <t xml:space="preserve">     TOTAL  M²</t>
  </si>
  <si>
    <t>GANCHOS</t>
  </si>
  <si>
    <t>TOTAL M10</t>
  </si>
  <si>
    <t>TOTAL M 5 E 7</t>
  </si>
  <si>
    <t>SALA</t>
  </si>
  <si>
    <t>COZINHA</t>
  </si>
  <si>
    <t>AR. SERV.</t>
  </si>
  <si>
    <t>DEPENDE</t>
  </si>
  <si>
    <t>ENDEREÇO</t>
  </si>
  <si>
    <t>EDIFICIO</t>
  </si>
  <si>
    <t>NOME</t>
  </si>
  <si>
    <t>AP</t>
  </si>
  <si>
    <t>Nº</t>
  </si>
  <si>
    <t>CORDA (m)</t>
  </si>
  <si>
    <t>LISTA DE LOCAIS</t>
  </si>
  <si>
    <t>LOCAL DE INSTALAÇÃO</t>
  </si>
  <si>
    <t>COD</t>
  </si>
  <si>
    <t>LINHA 1</t>
  </si>
  <si>
    <t>LINHA 2</t>
  </si>
  <si>
    <t>LINHA 3</t>
  </si>
  <si>
    <t>LINHA 4</t>
  </si>
  <si>
    <t>LINHA 5</t>
  </si>
  <si>
    <t>LINHA 6</t>
  </si>
  <si>
    <t>LINHA 7</t>
  </si>
  <si>
    <t>LINHA 8</t>
  </si>
  <si>
    <t>LINHA 9</t>
  </si>
  <si>
    <t>LINHA 10</t>
  </si>
  <si>
    <t>LINHA 11</t>
  </si>
  <si>
    <t>LINHA 12</t>
  </si>
  <si>
    <t>LINHA 13</t>
  </si>
  <si>
    <t>LINHA 14</t>
  </si>
  <si>
    <t>LINHA 15</t>
  </si>
  <si>
    <t>LINHA 16</t>
  </si>
  <si>
    <t>LINHA 17</t>
  </si>
  <si>
    <t>LINHA 18</t>
  </si>
  <si>
    <t>LINHA 19</t>
  </si>
  <si>
    <t>LINHA 20</t>
  </si>
  <si>
    <t>CLIENTE</t>
  </si>
  <si>
    <t>MARCIO JOSE</t>
  </si>
  <si>
    <t>3741-1111</t>
  </si>
  <si>
    <t>RUA DO SOL</t>
  </si>
  <si>
    <t>RICARDO MARCOS</t>
  </si>
  <si>
    <t>3742-0110</t>
  </si>
  <si>
    <t>RUA DAS FLORES</t>
  </si>
  <si>
    <t>JOSÉ LINHARES</t>
  </si>
  <si>
    <t>APARTAMENTO</t>
  </si>
  <si>
    <t>PLANILHA DE ENTRADA</t>
  </si>
  <si>
    <t>COD CLIENTE</t>
  </si>
  <si>
    <t>RITA DE CASSIA</t>
  </si>
  <si>
    <t>CÓDIGO DO ORÇAMENTO</t>
  </si>
  <si>
    <t>HAAL</t>
  </si>
  <si>
    <t>ORÇAMENTO</t>
  </si>
  <si>
    <t xml:space="preserve">         NOME</t>
  </si>
  <si>
    <t>ALT 10</t>
  </si>
  <si>
    <t>ALT 7</t>
  </si>
  <si>
    <t>LARG 10</t>
  </si>
  <si>
    <t>LARG 7</t>
  </si>
  <si>
    <t>ALT 5</t>
  </si>
  <si>
    <t>HALL</t>
  </si>
  <si>
    <t>TELEFONE COMERCIAL</t>
  </si>
  <si>
    <t>TELEFONE CELELAR</t>
  </si>
  <si>
    <t>TELEFONE RESIDENCIAL</t>
  </si>
  <si>
    <t>TELEFONE CELULAR</t>
  </si>
  <si>
    <t>3740-1111</t>
  </si>
  <si>
    <t>3742-1111</t>
  </si>
  <si>
    <t>3742-0220</t>
  </si>
  <si>
    <t>3742-0330</t>
  </si>
  <si>
    <t>EDIF.</t>
  </si>
  <si>
    <t>COD ORÇAM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</si>
</sst>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  <numFmt numFmtId="174" formatCode="0.000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,##0.00;[Red]#,##0.00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%"/>
    <numFmt numFmtId="191" formatCode="General\ &quot;Dias&quot;"/>
    <numFmt numFmtId="192" formatCode="&quot;R$&quot;#,##0.0_);[Red]\(&quot;R$&quot;#,##0.0\)"/>
    <numFmt numFmtId="193" formatCode="&quot;R$&quot;#,##0.00"/>
    <numFmt numFmtId="194" formatCode="&quot;000&quot;General"/>
    <numFmt numFmtId="195" formatCode="#,000"/>
    <numFmt numFmtId="196" formatCode="0,000"/>
    <numFmt numFmtId="197" formatCode="##,000"/>
    <numFmt numFmtId="198" formatCode="0000"/>
    <numFmt numFmtId="199" formatCode="dd\-mmm\-yy"/>
    <numFmt numFmtId="200" formatCode="d\ \ mmmm\,\ yyyy"/>
    <numFmt numFmtId="201" formatCode="General\ &quot;Vezes&quot;"/>
    <numFmt numFmtId="202" formatCode="General\ &quot;dias&quot;"/>
    <numFmt numFmtId="203" formatCode="00000"/>
    <numFmt numFmtId="204" formatCode="h:mm"/>
    <numFmt numFmtId="205" formatCode="d/m/yy\ h:mm"/>
    <numFmt numFmtId="206" formatCode="0;[Red]0"/>
    <numFmt numFmtId="207" formatCode="[$R$-416]* #,##0.00_);\([$R$-416]* #,##0.00\)"/>
    <numFmt numFmtId="208" formatCode="#,##0_);\(#,##0\)"/>
    <numFmt numFmtId="209" formatCode="_-[$R$-416]\ * #,##0.00_-;\-[$R$-416]\ * #,##0.00_-;_-[$R$-416]\ * &quot;-&quot;??_-;_-@_-"/>
    <numFmt numFmtId="210" formatCode="#,##0.0"/>
    <numFmt numFmtId="211" formatCode="&quot;R$&quot;\ #,##0.000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&quot;$&quot;#,##0;\-&quot;$&quot;#,##0"/>
    <numFmt numFmtId="219" formatCode="&quot;$&quot;#,##0;[Red]\-&quot;$&quot;#,##0"/>
    <numFmt numFmtId="220" formatCode="&quot;$&quot;#,##0.00;\-&quot;$&quot;#,##0.00"/>
    <numFmt numFmtId="221" formatCode="&quot;$&quot;#,##0.00;[Red]\-&quot;$&quot;#,##0.00"/>
    <numFmt numFmtId="222" formatCode="_-&quot;$&quot;* #,##0_-;\-&quot;$&quot;* #,##0_-;_-&quot;$&quot;* &quot;-&quot;_-;_-@_-"/>
    <numFmt numFmtId="223" formatCode="_-&quot;$&quot;* #,##0.00_-;\-&quot;$&quot;* #,##0.00_-;_-&quot;$&quot;* &quot;-&quot;??_-;_-@_-"/>
    <numFmt numFmtId="224" formatCode="#,##0;[Red]#,##0"/>
    <numFmt numFmtId="225" formatCode="h:mm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2" fillId="20" borderId="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21" fillId="0" borderId="11" xfId="0" applyFont="1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4" fontId="21" fillId="0" borderId="12" xfId="0" applyNumberFormat="1" applyFont="1" applyBorder="1" applyAlignment="1" applyProtection="1">
      <alignment vertical="center"/>
      <protection hidden="1"/>
    </xf>
    <xf numFmtId="4" fontId="21" fillId="0" borderId="11" xfId="0" applyNumberFormat="1" applyFont="1" applyBorder="1" applyAlignment="1" applyProtection="1">
      <alignment vertical="center"/>
      <protection hidden="1"/>
    </xf>
    <xf numFmtId="4" fontId="21" fillId="0" borderId="13" xfId="0" applyNumberFormat="1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4" fontId="22" fillId="0" borderId="0" xfId="0" applyNumberFormat="1" applyFont="1" applyAlignment="1">
      <alignment/>
    </xf>
    <xf numFmtId="3" fontId="21" fillId="24" borderId="15" xfId="0" applyNumberFormat="1" applyFont="1" applyFill="1" applyBorder="1" applyAlignment="1" applyProtection="1">
      <alignment vertical="center"/>
      <protection hidden="1"/>
    </xf>
    <xf numFmtId="3" fontId="21" fillId="24" borderId="16" xfId="91" applyNumberFormat="1" applyFont="1" applyFill="1" applyBorder="1" applyAlignment="1" applyProtection="1">
      <alignment vertical="center"/>
      <protection locked="0"/>
    </xf>
    <xf numFmtId="3" fontId="21" fillId="24" borderId="17" xfId="0" applyNumberFormat="1" applyFont="1" applyFill="1" applyBorder="1" applyAlignment="1" applyProtection="1">
      <alignment vertical="center"/>
      <protection hidden="1"/>
    </xf>
    <xf numFmtId="3" fontId="21" fillId="24" borderId="16" xfId="0" applyNumberFormat="1" applyFont="1" applyFill="1" applyBorder="1" applyAlignment="1" applyProtection="1">
      <alignment vertical="center"/>
      <protection locked="0"/>
    </xf>
    <xf numFmtId="3" fontId="21" fillId="24" borderId="18" xfId="0" applyNumberFormat="1" applyFont="1" applyFill="1" applyBorder="1" applyAlignment="1" applyProtection="1">
      <alignment vertical="center"/>
      <protection hidden="1"/>
    </xf>
    <xf numFmtId="3" fontId="21" fillId="24" borderId="19" xfId="91" applyNumberFormat="1" applyFont="1" applyFill="1" applyBorder="1" applyAlignment="1" applyProtection="1">
      <alignment vertical="center"/>
      <protection locked="0"/>
    </xf>
    <xf numFmtId="3" fontId="21" fillId="24" borderId="20" xfId="0" applyNumberFormat="1" applyFont="1" applyFill="1" applyBorder="1" applyAlignment="1" applyProtection="1">
      <alignment vertical="center"/>
      <protection hidden="1"/>
    </xf>
    <xf numFmtId="3" fontId="21" fillId="24" borderId="19" xfId="0" applyNumberFormat="1" applyFont="1" applyFill="1" applyBorder="1" applyAlignment="1" applyProtection="1">
      <alignment vertical="center"/>
      <protection locked="0"/>
    </xf>
    <xf numFmtId="3" fontId="21" fillId="24" borderId="21" xfId="0" applyNumberFormat="1" applyFont="1" applyFill="1" applyBorder="1" applyAlignment="1" applyProtection="1">
      <alignment vertical="center"/>
      <protection hidden="1"/>
    </xf>
    <xf numFmtId="3" fontId="21" fillId="24" borderId="22" xfId="91" applyNumberFormat="1" applyFont="1" applyFill="1" applyBorder="1" applyAlignment="1" applyProtection="1">
      <alignment vertical="center"/>
      <protection locked="0"/>
    </xf>
    <xf numFmtId="3" fontId="21" fillId="24" borderId="23" xfId="0" applyNumberFormat="1" applyFont="1" applyFill="1" applyBorder="1" applyAlignment="1" applyProtection="1">
      <alignment vertical="center"/>
      <protection hidden="1"/>
    </xf>
    <xf numFmtId="3" fontId="21" fillId="24" borderId="22" xfId="0" applyNumberFormat="1" applyFont="1" applyFill="1" applyBorder="1" applyAlignment="1" applyProtection="1">
      <alignment vertical="center"/>
      <protection locked="0"/>
    </xf>
    <xf numFmtId="224" fontId="21" fillId="24" borderId="15" xfId="0" applyNumberFormat="1" applyFont="1" applyFill="1" applyBorder="1" applyAlignment="1" applyProtection="1">
      <alignment vertical="center"/>
      <protection hidden="1"/>
    </xf>
    <xf numFmtId="224" fontId="21" fillId="24" borderId="19" xfId="91" applyNumberFormat="1" applyFont="1" applyFill="1" applyBorder="1" applyAlignment="1" applyProtection="1">
      <alignment vertical="center"/>
      <protection hidden="1"/>
    </xf>
    <xf numFmtId="224" fontId="21" fillId="24" borderId="17" xfId="0" applyNumberFormat="1" applyFont="1" applyFill="1" applyBorder="1" applyAlignment="1" applyProtection="1">
      <alignment vertical="center"/>
      <protection hidden="1"/>
    </xf>
    <xf numFmtId="224" fontId="21" fillId="24" borderId="19" xfId="0" applyNumberFormat="1" applyFont="1" applyFill="1" applyBorder="1" applyAlignment="1" applyProtection="1">
      <alignment vertical="center"/>
      <protection hidden="1"/>
    </xf>
    <xf numFmtId="224" fontId="21" fillId="24" borderId="18" xfId="0" applyNumberFormat="1" applyFont="1" applyFill="1" applyBorder="1" applyAlignment="1" applyProtection="1">
      <alignment vertical="center"/>
      <protection hidden="1"/>
    </xf>
    <xf numFmtId="224" fontId="21" fillId="24" borderId="20" xfId="0" applyNumberFormat="1" applyFont="1" applyFill="1" applyBorder="1" applyAlignment="1" applyProtection="1">
      <alignment vertical="center"/>
      <protection hidden="1"/>
    </xf>
    <xf numFmtId="224" fontId="21" fillId="24" borderId="21" xfId="0" applyNumberFormat="1" applyFont="1" applyFill="1" applyBorder="1" applyAlignment="1" applyProtection="1">
      <alignment vertical="center"/>
      <protection hidden="1"/>
    </xf>
    <xf numFmtId="224" fontId="21" fillId="24" borderId="22" xfId="91" applyNumberFormat="1" applyFont="1" applyFill="1" applyBorder="1" applyAlignment="1" applyProtection="1">
      <alignment vertical="center"/>
      <protection hidden="1"/>
    </xf>
    <xf numFmtId="224" fontId="21" fillId="24" borderId="22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4" fontId="21" fillId="24" borderId="15" xfId="0" applyNumberFormat="1" applyFont="1" applyFill="1" applyBorder="1" applyAlignment="1" applyProtection="1">
      <alignment vertical="center"/>
      <protection locked="0"/>
    </xf>
    <xf numFmtId="2" fontId="21" fillId="24" borderId="17" xfId="0" applyNumberFormat="1" applyFont="1" applyFill="1" applyBorder="1" applyAlignment="1" applyProtection="1">
      <alignment vertical="center"/>
      <protection hidden="1"/>
    </xf>
    <xf numFmtId="3" fontId="21" fillId="24" borderId="15" xfId="91" applyNumberFormat="1" applyFont="1" applyFill="1" applyBorder="1" applyAlignment="1" applyProtection="1">
      <alignment vertical="center"/>
      <protection hidden="1"/>
    </xf>
    <xf numFmtId="170" fontId="21" fillId="24" borderId="12" xfId="82" applyFont="1" applyFill="1" applyBorder="1" applyAlignment="1" applyProtection="1">
      <alignment vertical="center"/>
      <protection hidden="1"/>
    </xf>
    <xf numFmtId="4" fontId="21" fillId="24" borderId="18" xfId="0" applyNumberFormat="1" applyFont="1" applyFill="1" applyBorder="1" applyAlignment="1" applyProtection="1">
      <alignment vertical="center"/>
      <protection locked="0"/>
    </xf>
    <xf numFmtId="2" fontId="21" fillId="24" borderId="20" xfId="0" applyNumberFormat="1" applyFont="1" applyFill="1" applyBorder="1" applyAlignment="1" applyProtection="1">
      <alignment vertical="center"/>
      <protection hidden="1"/>
    </xf>
    <xf numFmtId="3" fontId="21" fillId="24" borderId="18" xfId="91" applyNumberFormat="1" applyFont="1" applyFill="1" applyBorder="1" applyAlignment="1" applyProtection="1">
      <alignment vertical="center"/>
      <protection hidden="1"/>
    </xf>
    <xf numFmtId="170" fontId="21" fillId="24" borderId="11" xfId="82" applyFont="1" applyFill="1" applyBorder="1" applyAlignment="1" applyProtection="1">
      <alignment vertical="center"/>
      <protection hidden="1"/>
    </xf>
    <xf numFmtId="4" fontId="21" fillId="0" borderId="18" xfId="0" applyNumberFormat="1" applyFont="1" applyBorder="1" applyAlignment="1" applyProtection="1">
      <alignment vertical="center"/>
      <protection locked="0"/>
    </xf>
    <xf numFmtId="4" fontId="21" fillId="0" borderId="18" xfId="82" applyNumberFormat="1" applyFont="1" applyBorder="1" applyAlignment="1" applyProtection="1">
      <alignment vertical="center"/>
      <protection locked="0"/>
    </xf>
    <xf numFmtId="4" fontId="21" fillId="0" borderId="21" xfId="82" applyNumberFormat="1" applyFont="1" applyBorder="1" applyAlignment="1" applyProtection="1">
      <alignment vertical="center"/>
      <protection locked="0"/>
    </xf>
    <xf numFmtId="2" fontId="21" fillId="24" borderId="23" xfId="0" applyNumberFormat="1" applyFont="1" applyFill="1" applyBorder="1" applyAlignment="1" applyProtection="1">
      <alignment vertical="center"/>
      <protection hidden="1"/>
    </xf>
    <xf numFmtId="3" fontId="21" fillId="24" borderId="21" xfId="91" applyNumberFormat="1" applyFont="1" applyFill="1" applyBorder="1" applyAlignment="1" applyProtection="1">
      <alignment vertical="center"/>
      <protection hidden="1"/>
    </xf>
    <xf numFmtId="170" fontId="21" fillId="24" borderId="13" xfId="82" applyFont="1" applyFill="1" applyBorder="1" applyAlignment="1" applyProtection="1">
      <alignment vertical="center"/>
      <protection hidden="1"/>
    </xf>
    <xf numFmtId="2" fontId="21" fillId="24" borderId="18" xfId="0" applyNumberFormat="1" applyFont="1" applyFill="1" applyBorder="1" applyAlignment="1" applyProtection="1">
      <alignment vertical="center"/>
      <protection hidden="1"/>
    </xf>
    <xf numFmtId="2" fontId="21" fillId="24" borderId="19" xfId="0" applyNumberFormat="1" applyFont="1" applyFill="1" applyBorder="1" applyAlignment="1" applyProtection="1">
      <alignment vertical="center"/>
      <protection hidden="1"/>
    </xf>
    <xf numFmtId="2" fontId="21" fillId="24" borderId="24" xfId="0" applyNumberFormat="1" applyFont="1" applyFill="1" applyBorder="1" applyAlignment="1" applyProtection="1">
      <alignment vertical="center"/>
      <protection hidden="1"/>
    </xf>
    <xf numFmtId="224" fontId="21" fillId="24" borderId="15" xfId="91" applyNumberFormat="1" applyFont="1" applyFill="1" applyBorder="1" applyAlignment="1" applyProtection="1">
      <alignment vertical="center"/>
      <protection hidden="1"/>
    </xf>
    <xf numFmtId="2" fontId="21" fillId="24" borderId="25" xfId="0" applyNumberFormat="1" applyFont="1" applyFill="1" applyBorder="1" applyAlignment="1" applyProtection="1">
      <alignment vertical="center"/>
      <protection hidden="1"/>
    </xf>
    <xf numFmtId="224" fontId="21" fillId="24" borderId="18" xfId="91" applyNumberFormat="1" applyFont="1" applyFill="1" applyBorder="1" applyAlignment="1" applyProtection="1">
      <alignment vertical="center"/>
      <protection hidden="1"/>
    </xf>
    <xf numFmtId="2" fontId="21" fillId="24" borderId="21" xfId="0" applyNumberFormat="1" applyFont="1" applyFill="1" applyBorder="1" applyAlignment="1" applyProtection="1">
      <alignment vertical="center"/>
      <protection hidden="1"/>
    </xf>
    <xf numFmtId="2" fontId="21" fillId="24" borderId="22" xfId="0" applyNumberFormat="1" applyFont="1" applyFill="1" applyBorder="1" applyAlignment="1" applyProtection="1">
      <alignment vertical="center"/>
      <protection hidden="1"/>
    </xf>
    <xf numFmtId="2" fontId="21" fillId="24" borderId="26" xfId="0" applyNumberFormat="1" applyFont="1" applyFill="1" applyBorder="1" applyAlignment="1" applyProtection="1">
      <alignment vertical="center"/>
      <protection hidden="1"/>
    </xf>
    <xf numFmtId="224" fontId="21" fillId="24" borderId="21" xfId="91" applyNumberFormat="1" applyFont="1" applyFill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 applyProtection="1">
      <alignment vertical="center"/>
      <protection hidden="1"/>
    </xf>
    <xf numFmtId="0" fontId="22" fillId="0" borderId="27" xfId="0" applyFont="1" applyBorder="1" applyAlignment="1" applyProtection="1">
      <alignment vertical="center"/>
      <protection hidden="1"/>
    </xf>
    <xf numFmtId="0" fontId="21" fillId="0" borderId="0" xfId="0" applyFont="1" applyBorder="1" applyAlignment="1">
      <alignment/>
    </xf>
    <xf numFmtId="0" fontId="25" fillId="25" borderId="0" xfId="0" applyFont="1" applyFill="1" applyAlignment="1">
      <alignment horizontal="center" vertical="center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 applyProtection="1">
      <alignment horizontal="center" vertical="center" wrapText="1"/>
      <protection locked="0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0" fontId="21" fillId="25" borderId="33" xfId="0" applyFont="1" applyFill="1" applyBorder="1" applyAlignment="1">
      <alignment horizontal="center" vertical="center"/>
    </xf>
    <xf numFmtId="0" fontId="26" fillId="25" borderId="34" xfId="0" applyFont="1" applyFill="1" applyBorder="1" applyAlignment="1">
      <alignment horizontal="center" vertical="center" wrapText="1"/>
    </xf>
    <xf numFmtId="0" fontId="27" fillId="25" borderId="35" xfId="0" applyFont="1" applyFill="1" applyBorder="1" applyAlignment="1">
      <alignment horizontal="center" vertical="center" wrapText="1"/>
    </xf>
    <xf numFmtId="0" fontId="27" fillId="25" borderId="36" xfId="0" applyFont="1" applyFill="1" applyBorder="1" applyAlignment="1">
      <alignment horizontal="center" vertical="center" wrapText="1"/>
    </xf>
    <xf numFmtId="0" fontId="27" fillId="25" borderId="37" xfId="0" applyFont="1" applyFill="1" applyBorder="1" applyAlignment="1">
      <alignment horizontal="center" vertical="center" wrapText="1"/>
    </xf>
    <xf numFmtId="0" fontId="21" fillId="25" borderId="35" xfId="0" applyFont="1" applyFill="1" applyBorder="1" applyAlignment="1" quotePrefix="1">
      <alignment horizontal="center" vertical="center"/>
    </xf>
    <xf numFmtId="0" fontId="21" fillId="25" borderId="36" xfId="0" applyFont="1" applyFill="1" applyBorder="1" applyAlignment="1" quotePrefix="1">
      <alignment horizontal="center" vertical="center"/>
    </xf>
    <xf numFmtId="0" fontId="21" fillId="25" borderId="37" xfId="0" applyFont="1" applyFill="1" applyBorder="1" applyAlignment="1" quotePrefix="1">
      <alignment horizontal="center" vertical="center"/>
    </xf>
    <xf numFmtId="0" fontId="21" fillId="25" borderId="35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170" fontId="21" fillId="25" borderId="34" xfId="82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21" fillId="25" borderId="34" xfId="0" applyFont="1" applyFill="1" applyBorder="1" applyAlignment="1" quotePrefix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7" fillId="25" borderId="39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7" fillId="25" borderId="40" xfId="0" applyFont="1" applyFill="1" applyBorder="1" applyAlignment="1">
      <alignment horizontal="center" vertical="center" wrapText="1"/>
    </xf>
    <xf numFmtId="0" fontId="21" fillId="25" borderId="39" xfId="0" applyFont="1" applyFill="1" applyBorder="1" applyAlignment="1" quotePrefix="1">
      <alignment horizontal="center" vertical="center"/>
    </xf>
    <xf numFmtId="0" fontId="21" fillId="25" borderId="0" xfId="0" applyFont="1" applyFill="1" applyBorder="1" applyAlignment="1" quotePrefix="1">
      <alignment horizontal="center" vertical="center"/>
    </xf>
    <xf numFmtId="0" fontId="21" fillId="25" borderId="40" xfId="0" applyFont="1" applyFill="1" applyBorder="1" applyAlignment="1" quotePrefix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170" fontId="21" fillId="25" borderId="41" xfId="82" applyFont="1" applyFill="1" applyBorder="1" applyAlignment="1" applyProtection="1">
      <alignment vertical="center"/>
      <protection locked="0"/>
    </xf>
    <xf numFmtId="0" fontId="21" fillId="25" borderId="10" xfId="0" applyFont="1" applyFill="1" applyBorder="1" applyAlignment="1" quotePrefix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left" vertical="center"/>
    </xf>
    <xf numFmtId="0" fontId="21" fillId="25" borderId="29" xfId="0" applyFont="1" applyFill="1" applyBorder="1" applyAlignment="1">
      <alignment vertical="center"/>
    </xf>
    <xf numFmtId="0" fontId="21" fillId="25" borderId="30" xfId="0" applyFont="1" applyFill="1" applyBorder="1" applyAlignment="1">
      <alignment horizontal="center" vertical="center"/>
    </xf>
    <xf numFmtId="3" fontId="21" fillId="25" borderId="28" xfId="0" applyNumberFormat="1" applyFont="1" applyFill="1" applyBorder="1" applyAlignment="1">
      <alignment vertical="center"/>
    </xf>
    <xf numFmtId="3" fontId="21" fillId="25" borderId="29" xfId="0" applyNumberFormat="1" applyFont="1" applyFill="1" applyBorder="1" applyAlignment="1">
      <alignment horizontal="left" vertical="center"/>
    </xf>
    <xf numFmtId="3" fontId="21" fillId="25" borderId="30" xfId="0" applyNumberFormat="1" applyFont="1" applyFill="1" applyBorder="1" applyAlignment="1">
      <alignment horizontal="left" vertical="center"/>
    </xf>
    <xf numFmtId="3" fontId="21" fillId="25" borderId="28" xfId="0" applyNumberFormat="1" applyFont="1" applyFill="1" applyBorder="1" applyAlignment="1">
      <alignment horizontal="left" vertical="center"/>
    </xf>
    <xf numFmtId="170" fontId="21" fillId="25" borderId="42" xfId="82" applyFont="1" applyFill="1" applyBorder="1" applyAlignment="1">
      <alignment horizontal="left" vertical="center"/>
    </xf>
    <xf numFmtId="0" fontId="21" fillId="25" borderId="42" xfId="0" applyFont="1" applyFill="1" applyBorder="1" applyAlignment="1" quotePrefix="1">
      <alignment horizontal="left" vertical="center"/>
    </xf>
    <xf numFmtId="0" fontId="21" fillId="25" borderId="14" xfId="0" applyFont="1" applyFill="1" applyBorder="1" applyAlignment="1" quotePrefix="1">
      <alignment horizontal="center" vertical="center" wrapText="1"/>
    </xf>
    <xf numFmtId="2" fontId="21" fillId="25" borderId="35" xfId="0" applyNumberFormat="1" applyFont="1" applyFill="1" applyBorder="1" applyAlignment="1">
      <alignment vertical="center"/>
    </xf>
    <xf numFmtId="2" fontId="21" fillId="25" borderId="36" xfId="0" applyNumberFormat="1" applyFont="1" applyFill="1" applyBorder="1" applyAlignment="1">
      <alignment vertical="center"/>
    </xf>
    <xf numFmtId="183" fontId="21" fillId="25" borderId="36" xfId="0" applyNumberFormat="1" applyFont="1" applyFill="1" applyBorder="1" applyAlignment="1" applyProtection="1">
      <alignment vertical="center"/>
      <protection hidden="1"/>
    </xf>
    <xf numFmtId="183" fontId="21" fillId="25" borderId="37" xfId="0" applyNumberFormat="1" applyFont="1" applyFill="1" applyBorder="1" applyAlignment="1" applyProtection="1">
      <alignment vertical="center"/>
      <protection hidden="1"/>
    </xf>
    <xf numFmtId="1" fontId="21" fillId="25" borderId="35" xfId="0" applyNumberFormat="1" applyFont="1" applyFill="1" applyBorder="1" applyAlignment="1">
      <alignment vertical="center"/>
    </xf>
    <xf numFmtId="1" fontId="21" fillId="25" borderId="36" xfId="0" applyNumberFormat="1" applyFont="1" applyFill="1" applyBorder="1" applyAlignment="1">
      <alignment vertical="center"/>
    </xf>
    <xf numFmtId="1" fontId="21" fillId="25" borderId="37" xfId="0" applyNumberFormat="1" applyFont="1" applyFill="1" applyBorder="1" applyAlignment="1">
      <alignment vertical="center"/>
    </xf>
    <xf numFmtId="0" fontId="21" fillId="25" borderId="43" xfId="0" applyFont="1" applyFill="1" applyBorder="1" applyAlignment="1" quotePrefix="1">
      <alignment horizontal="center" vertical="center"/>
    </xf>
    <xf numFmtId="0" fontId="21" fillId="25" borderId="44" xfId="0" applyFont="1" applyFill="1" applyBorder="1" applyAlignment="1" quotePrefix="1">
      <alignment horizontal="center" vertical="center"/>
    </xf>
    <xf numFmtId="0" fontId="21" fillId="25" borderId="45" xfId="0" applyFont="1" applyFill="1" applyBorder="1" applyAlignment="1" quotePrefix="1">
      <alignment horizontal="center" vertical="center"/>
    </xf>
    <xf numFmtId="170" fontId="21" fillId="25" borderId="38" xfId="82" applyFont="1" applyFill="1" applyBorder="1" applyAlignment="1">
      <alignment horizontal="left" vertical="center"/>
    </xf>
    <xf numFmtId="0" fontId="21" fillId="25" borderId="38" xfId="0" applyFont="1" applyFill="1" applyBorder="1" applyAlignment="1">
      <alignment horizontal="left" vertical="center"/>
    </xf>
    <xf numFmtId="0" fontId="21" fillId="25" borderId="45" xfId="0" applyFont="1" applyFill="1" applyBorder="1" applyAlignment="1" quotePrefix="1">
      <alignment horizontal="center" vertical="center" wrapText="1"/>
    </xf>
    <xf numFmtId="2" fontId="21" fillId="25" borderId="46" xfId="0" applyNumberFormat="1" applyFont="1" applyFill="1" applyBorder="1" applyAlignment="1">
      <alignment vertical="center"/>
    </xf>
    <xf numFmtId="2" fontId="21" fillId="25" borderId="27" xfId="0" applyNumberFormat="1" applyFont="1" applyFill="1" applyBorder="1" applyAlignment="1">
      <alignment vertical="center"/>
    </xf>
    <xf numFmtId="183" fontId="21" fillId="25" borderId="27" xfId="0" applyNumberFormat="1" applyFont="1" applyFill="1" applyBorder="1" applyAlignment="1" applyProtection="1">
      <alignment vertical="center"/>
      <protection hidden="1"/>
    </xf>
    <xf numFmtId="183" fontId="21" fillId="25" borderId="47" xfId="0" applyNumberFormat="1" applyFont="1" applyFill="1" applyBorder="1" applyAlignment="1" applyProtection="1">
      <alignment vertical="center"/>
      <protection hidden="1"/>
    </xf>
    <xf numFmtId="1" fontId="21" fillId="25" borderId="46" xfId="0" applyNumberFormat="1" applyFont="1" applyFill="1" applyBorder="1" applyAlignment="1">
      <alignment vertical="center"/>
    </xf>
    <xf numFmtId="1" fontId="21" fillId="25" borderId="27" xfId="0" applyNumberFormat="1" applyFont="1" applyFill="1" applyBorder="1" applyAlignment="1">
      <alignment vertical="center"/>
    </xf>
    <xf numFmtId="1" fontId="21" fillId="25" borderId="47" xfId="0" applyNumberFormat="1" applyFont="1" applyFill="1" applyBorder="1" applyAlignment="1">
      <alignment vertical="center"/>
    </xf>
    <xf numFmtId="1" fontId="21" fillId="25" borderId="48" xfId="0" applyNumberFormat="1" applyFont="1" applyFill="1" applyBorder="1" applyAlignment="1" applyProtection="1">
      <alignment vertical="center"/>
      <protection hidden="1"/>
    </xf>
    <xf numFmtId="1" fontId="21" fillId="25" borderId="49" xfId="0" applyNumberFormat="1" applyFont="1" applyFill="1" applyBorder="1" applyAlignment="1" applyProtection="1">
      <alignment vertical="center"/>
      <protection hidden="1"/>
    </xf>
    <xf numFmtId="1" fontId="21" fillId="25" borderId="50" xfId="0" applyNumberFormat="1" applyFont="1" applyFill="1" applyBorder="1" applyAlignment="1" applyProtection="1">
      <alignment vertical="center"/>
      <protection hidden="1"/>
    </xf>
    <xf numFmtId="170" fontId="21" fillId="25" borderId="51" xfId="0" applyNumberFormat="1" applyFont="1" applyFill="1" applyBorder="1" applyAlignment="1" applyProtection="1">
      <alignment vertical="center"/>
      <protection hidden="1"/>
    </xf>
    <xf numFmtId="2" fontId="21" fillId="25" borderId="50" xfId="0" applyNumberFormat="1" applyFont="1" applyFill="1" applyBorder="1" applyAlignment="1" applyProtection="1">
      <alignment vertical="center"/>
      <protection hidden="1"/>
    </xf>
    <xf numFmtId="0" fontId="21" fillId="25" borderId="42" xfId="0" applyFont="1" applyFill="1" applyBorder="1" applyAlignment="1">
      <alignment vertical="center"/>
    </xf>
    <xf numFmtId="0" fontId="21" fillId="25" borderId="34" xfId="0" applyFont="1" applyFill="1" applyBorder="1" applyAlignment="1" applyProtection="1">
      <alignment horizontal="center" wrapText="1"/>
      <protection hidden="1"/>
    </xf>
    <xf numFmtId="0" fontId="21" fillId="25" borderId="37" xfId="0" applyFont="1" applyFill="1" applyBorder="1" applyAlignment="1" applyProtection="1">
      <alignment horizontal="center" vertical="center" wrapText="1"/>
      <protection hidden="1"/>
    </xf>
    <xf numFmtId="0" fontId="21" fillId="25" borderId="34" xfId="0" applyFont="1" applyFill="1" applyBorder="1" applyAlignment="1" applyProtection="1">
      <alignment horizontal="left" vertical="center"/>
      <protection hidden="1"/>
    </xf>
    <xf numFmtId="0" fontId="21" fillId="25" borderId="34" xfId="0" applyFont="1" applyFill="1" applyBorder="1" applyAlignment="1">
      <alignment horizontal="center" vertical="center" wrapText="1"/>
    </xf>
    <xf numFmtId="0" fontId="21" fillId="25" borderId="52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 applyProtection="1">
      <alignment horizontal="center" vertical="center"/>
      <protection hidden="1"/>
    </xf>
    <xf numFmtId="0" fontId="21" fillId="25" borderId="34" xfId="0" applyFont="1" applyFill="1" applyBorder="1" applyAlignment="1" applyProtection="1">
      <alignment horizontal="center" vertical="center"/>
      <protection hidden="1"/>
    </xf>
    <xf numFmtId="4" fontId="21" fillId="25" borderId="32" xfId="0" applyNumberFormat="1" applyFont="1" applyFill="1" applyBorder="1" applyAlignment="1" applyProtection="1">
      <alignment horizontal="center" vertical="center"/>
      <protection hidden="1"/>
    </xf>
    <xf numFmtId="4" fontId="21" fillId="25" borderId="31" xfId="0" applyNumberFormat="1" applyFont="1" applyFill="1" applyBorder="1" applyAlignment="1" applyProtection="1">
      <alignment horizontal="center" vertical="center"/>
      <protection hidden="1"/>
    </xf>
    <xf numFmtId="4" fontId="21" fillId="25" borderId="33" xfId="0" applyNumberFormat="1" applyFont="1" applyFill="1" applyBorder="1" applyAlignment="1" applyProtection="1">
      <alignment horizontal="center" vertical="center"/>
      <protection hidden="1"/>
    </xf>
    <xf numFmtId="0" fontId="21" fillId="25" borderId="14" xfId="0" applyFont="1" applyFill="1" applyBorder="1" applyAlignment="1" applyProtection="1">
      <alignment horizontal="center" wrapText="1"/>
      <protection hidden="1"/>
    </xf>
    <xf numFmtId="0" fontId="21" fillId="25" borderId="47" xfId="0" applyFont="1" applyFill="1" applyBorder="1" applyAlignment="1" applyProtection="1">
      <alignment horizontal="center" vertical="center" wrapText="1"/>
      <protection hidden="1"/>
    </xf>
    <xf numFmtId="0" fontId="0" fillId="25" borderId="14" xfId="0" applyFill="1" applyBorder="1" applyAlignment="1" applyProtection="1">
      <alignment horizontal="left" vertical="center"/>
      <protection hidden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53" xfId="0" applyFont="1" applyFill="1" applyBorder="1" applyAlignment="1">
      <alignment horizontal="center" vertical="center" wrapText="1"/>
    </xf>
    <xf numFmtId="0" fontId="0" fillId="25" borderId="27" xfId="0" applyFill="1" applyBorder="1" applyAlignment="1" applyProtection="1">
      <alignment horizontal="center" vertical="center"/>
      <protection hidden="1"/>
    </xf>
    <xf numFmtId="0" fontId="0" fillId="25" borderId="14" xfId="0" applyFill="1" applyBorder="1" applyAlignment="1" applyProtection="1">
      <alignment horizontal="center" vertical="center"/>
      <protection hidden="1"/>
    </xf>
    <xf numFmtId="0" fontId="21" fillId="25" borderId="31" xfId="0" applyFont="1" applyFill="1" applyBorder="1" applyAlignment="1" applyProtection="1">
      <alignment/>
      <protection hidden="1"/>
    </xf>
    <xf numFmtId="4" fontId="21" fillId="25" borderId="28" xfId="0" applyNumberFormat="1" applyFont="1" applyFill="1" applyBorder="1" applyAlignment="1" applyProtection="1">
      <alignment horizontal="left" vertical="center"/>
      <protection hidden="1"/>
    </xf>
    <xf numFmtId="4" fontId="21" fillId="25" borderId="29" xfId="0" applyNumberFormat="1" applyFont="1" applyFill="1" applyBorder="1" applyAlignment="1" applyProtection="1">
      <alignment vertical="center"/>
      <protection hidden="1"/>
    </xf>
    <xf numFmtId="4" fontId="21" fillId="25" borderId="33" xfId="0" applyNumberFormat="1" applyFont="1" applyFill="1" applyBorder="1" applyAlignment="1" applyProtection="1">
      <alignment/>
      <protection hidden="1"/>
    </xf>
    <xf numFmtId="0" fontId="21" fillId="25" borderId="28" xfId="0" applyFont="1" applyFill="1" applyBorder="1" applyAlignment="1" quotePrefix="1">
      <alignment horizontal="left" vertical="center"/>
    </xf>
    <xf numFmtId="0" fontId="21" fillId="25" borderId="28" xfId="0" applyFont="1" applyFill="1" applyBorder="1" applyAlignment="1">
      <alignment vertical="center"/>
    </xf>
    <xf numFmtId="0" fontId="21" fillId="25" borderId="29" xfId="0" applyFont="1" applyFill="1" applyBorder="1" applyAlignment="1" quotePrefix="1">
      <alignment horizontal="left" vertical="center"/>
    </xf>
    <xf numFmtId="0" fontId="21" fillId="25" borderId="30" xfId="0" applyFont="1" applyFill="1" applyBorder="1" applyAlignment="1">
      <alignment horizontal="left" vertical="center"/>
    </xf>
    <xf numFmtId="0" fontId="21" fillId="25" borderId="29" xfId="0" applyFont="1" applyFill="1" applyBorder="1" applyAlignment="1">
      <alignment horizontal="left" vertical="center"/>
    </xf>
    <xf numFmtId="4" fontId="21" fillId="25" borderId="36" xfId="0" applyNumberFormat="1" applyFont="1" applyFill="1" applyBorder="1" applyAlignment="1" applyProtection="1">
      <alignment vertical="center"/>
      <protection hidden="1"/>
    </xf>
    <xf numFmtId="4" fontId="21" fillId="25" borderId="37" xfId="0" applyNumberFormat="1" applyFont="1" applyFill="1" applyBorder="1" applyAlignment="1" applyProtection="1">
      <alignment vertical="center"/>
      <protection hidden="1"/>
    </xf>
    <xf numFmtId="4" fontId="21" fillId="25" borderId="27" xfId="0" applyNumberFormat="1" applyFont="1" applyFill="1" applyBorder="1" applyAlignment="1" applyProtection="1">
      <alignment vertical="center"/>
      <protection hidden="1"/>
    </xf>
    <xf numFmtId="4" fontId="21" fillId="25" borderId="47" xfId="0" applyNumberFormat="1" applyFont="1" applyFill="1" applyBorder="1" applyAlignment="1" applyProtection="1">
      <alignment vertical="center"/>
      <protection hidden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9525</xdr:rowOff>
    </xdr:from>
    <xdr:to>
      <xdr:col>17</xdr:col>
      <xdr:colOff>514350</xdr:colOff>
      <xdr:row>4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3238500" y="466725"/>
          <a:ext cx="6096000" cy="171450"/>
          <a:chOff x="281" y="62"/>
          <a:chExt cx="645" cy="19"/>
        </a:xfrm>
        <a:solidFill>
          <a:srgbClr val="FFFFFF"/>
        </a:solidFill>
      </xdr:grpSpPr>
      <xdr:sp>
        <xdr:nvSpPr>
          <xdr:cNvPr id="2" name="Text Box 7"/>
          <xdr:cNvSpPr txBox="1">
            <a:spLocks noChangeArrowheads="1"/>
          </xdr:cNvSpPr>
        </xdr:nvSpPr>
        <xdr:spPr>
          <a:xfrm>
            <a:off x="281" y="62"/>
            <a:ext cx="645" cy="19"/>
          </a:xfrm>
          <a:prstGeom prst="rect">
            <a:avLst/>
          </a:prstGeom>
          <a:solidFill>
            <a:srgbClr val="EEECE1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DIGITE AQUI O CÓDIGO DO ORÇAMENTO PARA VISUALIZÁ-LO</a:t>
            </a:r>
          </a:p>
        </xdr:txBody>
      </xdr:sp>
      <xdr:sp>
        <xdr:nvSpPr>
          <xdr:cNvPr id="3" name="Line 8"/>
          <xdr:cNvSpPr>
            <a:spLocks/>
          </xdr:cNvSpPr>
        </xdr:nvSpPr>
        <xdr:spPr>
          <a:xfrm flipH="1">
            <a:off x="289" y="70"/>
            <a:ext cx="43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57150</xdr:colOff>
      <xdr:row>31</xdr:row>
      <xdr:rowOff>104775</xdr:rowOff>
    </xdr:from>
    <xdr:ext cx="76200" cy="209550"/>
    <xdr:sp fLocksText="0">
      <xdr:nvSpPr>
        <xdr:cNvPr id="4" name="Text Box 12"/>
        <xdr:cNvSpPr txBox="1">
          <a:spLocks noChangeArrowheads="1"/>
        </xdr:cNvSpPr>
      </xdr:nvSpPr>
      <xdr:spPr>
        <a:xfrm>
          <a:off x="7962900" y="4829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>
    <tabColor indexed="8"/>
  </sheetPr>
  <dimension ref="A1:J4"/>
  <sheetViews>
    <sheetView showGridLines="0" tabSelected="1" zoomScalePageLayoutView="0" workbookViewId="0" topLeftCell="A1">
      <selection activeCell="A1" sqref="A1:J2"/>
    </sheetView>
  </sheetViews>
  <sheetFormatPr defaultColWidth="9.140625" defaultRowHeight="12.75"/>
  <cols>
    <col min="1" max="1" width="9.57421875" style="27" bestFit="1" customWidth="1"/>
    <col min="2" max="16384" width="9.140625" style="27" customWidth="1"/>
  </cols>
  <sheetData>
    <row r="1" spans="1:10" ht="12.75" customHeight="1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0.7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7" ht="12.75" customHeight="1">
      <c r="A3" s="26"/>
      <c r="B3" s="26"/>
      <c r="C3" s="26"/>
      <c r="D3" s="26"/>
      <c r="E3" s="26"/>
      <c r="F3" s="26"/>
      <c r="G3" s="26"/>
    </row>
    <row r="4" spans="1:7" ht="12.75" customHeight="1">
      <c r="A4" s="26"/>
      <c r="B4" s="26"/>
      <c r="C4" s="26"/>
      <c r="D4" s="26"/>
      <c r="E4" s="26"/>
      <c r="F4" s="26"/>
      <c r="G4" s="26"/>
    </row>
  </sheetData>
  <sheetProtection/>
  <mergeCells count="1">
    <mergeCell ref="A1:J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tabColor indexed="43"/>
  </sheetPr>
  <dimension ref="A1:I12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5.00390625" style="6" bestFit="1" customWidth="1"/>
    <col min="2" max="2" width="18.28125" style="6" bestFit="1" customWidth="1"/>
    <col min="3" max="3" width="13.421875" style="6" bestFit="1" customWidth="1"/>
    <col min="4" max="4" width="12.00390625" style="6" bestFit="1" customWidth="1"/>
    <col min="5" max="5" width="10.57421875" style="6" bestFit="1" customWidth="1"/>
    <col min="6" max="6" width="17.57421875" style="6" bestFit="1" customWidth="1"/>
    <col min="7" max="7" width="3.00390625" style="6" bestFit="1" customWidth="1"/>
    <col min="8" max="8" width="4.00390625" style="6" bestFit="1" customWidth="1"/>
    <col min="9" max="9" width="15.7109375" style="6" bestFit="1" customWidth="1"/>
    <col min="10" max="16384" width="9.140625" style="6" customWidth="1"/>
  </cols>
  <sheetData>
    <row r="1" spans="1:9" s="52" customFormat="1" ht="26.25" thickBot="1">
      <c r="A1" s="85" t="s">
        <v>34</v>
      </c>
      <c r="B1" s="85" t="s">
        <v>28</v>
      </c>
      <c r="C1" s="85" t="s">
        <v>79</v>
      </c>
      <c r="D1" s="85" t="s">
        <v>77</v>
      </c>
      <c r="E1" s="85" t="s">
        <v>78</v>
      </c>
      <c r="F1" s="86" t="s">
        <v>26</v>
      </c>
      <c r="G1" s="87" t="s">
        <v>30</v>
      </c>
      <c r="H1" s="87" t="s">
        <v>29</v>
      </c>
      <c r="I1" s="88" t="s">
        <v>27</v>
      </c>
    </row>
    <row r="2" spans="1:9" ht="12.75">
      <c r="A2" s="6">
        <v>1</v>
      </c>
      <c r="B2" s="6" t="s">
        <v>56</v>
      </c>
      <c r="C2" s="6" t="s">
        <v>81</v>
      </c>
      <c r="D2" s="6" t="s">
        <v>57</v>
      </c>
      <c r="E2" s="6" t="s">
        <v>82</v>
      </c>
      <c r="F2" s="6" t="s">
        <v>58</v>
      </c>
      <c r="G2" s="6">
        <v>15</v>
      </c>
      <c r="H2" s="6">
        <v>206</v>
      </c>
      <c r="I2" s="6" t="s">
        <v>66</v>
      </c>
    </row>
    <row r="3" spans="1:9" ht="12.75">
      <c r="A3" s="6">
        <v>2</v>
      </c>
      <c r="B3" s="6" t="s">
        <v>59</v>
      </c>
      <c r="C3" s="6" t="s">
        <v>60</v>
      </c>
      <c r="D3" s="6" t="s">
        <v>83</v>
      </c>
      <c r="E3" s="6" t="s">
        <v>84</v>
      </c>
      <c r="F3" s="6" t="s">
        <v>61</v>
      </c>
      <c r="G3" s="6">
        <v>35</v>
      </c>
      <c r="H3" s="6">
        <v>10</v>
      </c>
      <c r="I3" s="6" t="s">
        <v>62</v>
      </c>
    </row>
    <row r="10" ht="12.75">
      <c r="D10" s="10"/>
    </row>
    <row r="11" ht="12.75">
      <c r="D11" s="10"/>
    </row>
    <row r="12" ht="12.75">
      <c r="D12" s="10"/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indexed="42"/>
    <pageSetUpPr fitToPage="1"/>
  </sheetPr>
  <dimension ref="A1:U35"/>
  <sheetViews>
    <sheetView showGridLines="0" zoomScaleSheetLayoutView="100" zoomScalePageLayoutView="0" workbookViewId="0" topLeftCell="C1">
      <selection activeCell="S21" sqref="S21"/>
    </sheetView>
  </sheetViews>
  <sheetFormatPr defaultColWidth="9.140625" defaultRowHeight="12" customHeight="1"/>
  <cols>
    <col min="1" max="1" width="9.7109375" style="4" customWidth="1"/>
    <col min="2" max="3" width="7.7109375" style="1" customWidth="1"/>
    <col min="4" max="4" width="7.7109375" style="4" customWidth="1"/>
    <col min="5" max="5" width="6.28125" style="1" customWidth="1"/>
    <col min="6" max="10" width="6.28125" style="5" customWidth="1"/>
    <col min="11" max="11" width="6.28125" style="1" customWidth="1"/>
    <col min="12" max="13" width="6.28125" style="4" customWidth="1"/>
    <col min="14" max="14" width="13.7109375" style="5" customWidth="1"/>
    <col min="15" max="15" width="13.7109375" style="4" customWidth="1"/>
    <col min="16" max="16" width="7.7109375" style="1" customWidth="1"/>
    <col min="21" max="21" width="19.57421875" style="0" customWidth="1"/>
  </cols>
  <sheetData>
    <row r="1" spans="1:21" ht="12" customHeight="1" thickBo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0"/>
      <c r="R1" s="10"/>
      <c r="S1" s="10"/>
      <c r="T1" s="10"/>
      <c r="U1" s="153" t="s">
        <v>32</v>
      </c>
    </row>
    <row r="2" spans="1:21" ht="12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0"/>
      <c r="R2" s="10"/>
      <c r="S2" s="10"/>
      <c r="T2" s="10"/>
      <c r="U2" s="153"/>
    </row>
    <row r="3" spans="1:21" ht="12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0"/>
      <c r="R3" s="10"/>
      <c r="S3" s="10"/>
      <c r="T3" s="10"/>
      <c r="U3" s="13" t="s">
        <v>24</v>
      </c>
    </row>
    <row r="4" spans="17:21" ht="12" customHeight="1">
      <c r="Q4" s="10"/>
      <c r="R4" s="10"/>
      <c r="S4" s="10"/>
      <c r="T4" s="10"/>
      <c r="U4" s="13" t="s">
        <v>23</v>
      </c>
    </row>
    <row r="5" spans="1:21" ht="12" customHeight="1">
      <c r="A5" s="9" t="s">
        <v>55</v>
      </c>
      <c r="B5" s="28"/>
      <c r="C5" s="16">
        <f>IF($B$5="","",IF(VLOOKUP($B$5,CLIENTES!$A:$I,2,0)="","",VLOOKUP($B$5,CLIENTES!$A:$I,2,0)))</f>
      </c>
      <c r="D5" s="16"/>
      <c r="E5" s="16"/>
      <c r="F5" s="16"/>
      <c r="G5" s="16"/>
      <c r="H5" s="16"/>
      <c r="I5" s="16"/>
      <c r="J5" s="16"/>
      <c r="K5" s="16"/>
      <c r="L5" s="80" t="s">
        <v>79</v>
      </c>
      <c r="M5" s="80"/>
      <c r="N5" s="80"/>
      <c r="O5" s="81">
        <f>IF($B$5="","",IF(VLOOKUP($B$5,CLIENTES!$A:$I,3,0)="","",VLOOKUP($B$5,CLIENTES!$A:$I,3,0)))</f>
      </c>
      <c r="P5" s="81"/>
      <c r="Q5" s="10"/>
      <c r="R5" s="10"/>
      <c r="S5" s="10"/>
      <c r="T5" s="10"/>
      <c r="U5" s="13" t="s">
        <v>25</v>
      </c>
    </row>
    <row r="6" spans="1:21" ht="12" customHeight="1">
      <c r="A6" s="79" t="s">
        <v>26</v>
      </c>
      <c r="B6" s="79"/>
      <c r="C6" s="81">
        <f>IF($B$5="","",IF(VLOOKUP($B$5,CLIENTES!$A:$I,6,0)="","",VLOOKUP($B$5,CLIENTES!$A:$I,6,0)))</f>
      </c>
      <c r="D6" s="81"/>
      <c r="E6" s="81"/>
      <c r="F6" s="81"/>
      <c r="G6" s="81"/>
      <c r="H6" s="80"/>
      <c r="I6" s="80"/>
      <c r="J6" s="80"/>
      <c r="K6" s="80"/>
      <c r="L6" s="80" t="s">
        <v>77</v>
      </c>
      <c r="M6" s="80"/>
      <c r="N6" s="80"/>
      <c r="O6" s="81">
        <f>IF($B$5="","",IF(VLOOKUP($B$5,CLIENTES!$A:$I,4,0)="","",VLOOKUP($B$5,CLIENTES!$A:$I,4,0)))</f>
      </c>
      <c r="P6" s="81"/>
      <c r="Q6" s="10"/>
      <c r="R6" s="10"/>
      <c r="S6" s="10"/>
      <c r="T6" s="10"/>
      <c r="U6" s="13" t="s">
        <v>68</v>
      </c>
    </row>
    <row r="7" spans="1:21" ht="12" customHeight="1" thickBot="1">
      <c r="A7" s="9" t="s">
        <v>30</v>
      </c>
      <c r="B7" s="17">
        <f>IF($B$5="","",IF(VLOOKUP($B$5,CLIENTES!$A:$I,7,0)="","",VLOOKUP($B$5,CLIENTES!$A:$I,7,0)))</f>
      </c>
      <c r="C7" s="79" t="s">
        <v>63</v>
      </c>
      <c r="D7" s="79"/>
      <c r="E7" s="79"/>
      <c r="F7" s="17">
        <f>IF($B$5="","",IF(VLOOKUP($B$5,CLIENTES!$A:$I,8,0)="","",VLOOKUP($B$5,CLIENTES!$A:$I,8,0)))</f>
      </c>
      <c r="G7" s="9" t="s">
        <v>85</v>
      </c>
      <c r="H7" s="82">
        <f>IF($B$5="","",IF(VLOOKUP($B$5,CLIENTES!$A:$I,9,0)="","",VLOOKUP($B$5,CLIENTES!$A:$I,9,0)))</f>
      </c>
      <c r="I7" s="82"/>
      <c r="J7" s="82"/>
      <c r="K7" s="82"/>
      <c r="L7" s="80" t="s">
        <v>80</v>
      </c>
      <c r="M7" s="80"/>
      <c r="N7" s="80"/>
      <c r="O7" s="81">
        <f>IF($B$5="","",IF(VLOOKUP($B$5,CLIENTES!$A:$I,5,0)="","",VLOOKUP($B$5,CLIENTES!$A:$I,5,0)))</f>
      </c>
      <c r="P7" s="81"/>
      <c r="Q7" s="10"/>
      <c r="R7" s="12"/>
      <c r="S7" s="10"/>
      <c r="T7" s="10"/>
      <c r="U7" s="13" t="s">
        <v>0</v>
      </c>
    </row>
    <row r="8" spans="1:21" ht="12" customHeight="1" thickBot="1">
      <c r="A8" s="89" t="s">
        <v>69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  <c r="Q8" s="10"/>
      <c r="R8" s="10"/>
      <c r="S8" s="10"/>
      <c r="T8" s="10"/>
      <c r="U8" s="13" t="s">
        <v>22</v>
      </c>
    </row>
    <row r="9" spans="1:21" ht="12" customHeight="1">
      <c r="A9" s="92" t="s">
        <v>33</v>
      </c>
      <c r="B9" s="93" t="s">
        <v>1</v>
      </c>
      <c r="C9" s="94"/>
      <c r="D9" s="95"/>
      <c r="E9" s="96" t="s">
        <v>2</v>
      </c>
      <c r="F9" s="97"/>
      <c r="G9" s="98"/>
      <c r="H9" s="99" t="s">
        <v>3</v>
      </c>
      <c r="I9" s="100"/>
      <c r="J9" s="101"/>
      <c r="K9" s="99" t="s">
        <v>4</v>
      </c>
      <c r="L9" s="100"/>
      <c r="M9" s="101"/>
      <c r="N9" s="102" t="s">
        <v>5</v>
      </c>
      <c r="O9" s="103" t="s">
        <v>5</v>
      </c>
      <c r="P9" s="104" t="s">
        <v>31</v>
      </c>
      <c r="Q9" s="10"/>
      <c r="R9" s="10"/>
      <c r="S9" s="10"/>
      <c r="T9" s="10"/>
      <c r="U9" s="13" t="s">
        <v>6</v>
      </c>
    </row>
    <row r="10" spans="1:21" ht="12" customHeight="1" thickBot="1">
      <c r="A10" s="105"/>
      <c r="B10" s="106"/>
      <c r="C10" s="107"/>
      <c r="D10" s="108"/>
      <c r="E10" s="109"/>
      <c r="F10" s="110"/>
      <c r="G10" s="111"/>
      <c r="H10" s="112"/>
      <c r="I10" s="113"/>
      <c r="J10" s="114"/>
      <c r="K10" s="112"/>
      <c r="L10" s="113"/>
      <c r="M10" s="114"/>
      <c r="N10" s="115">
        <v>20</v>
      </c>
      <c r="O10" s="115">
        <v>25</v>
      </c>
      <c r="P10" s="116"/>
      <c r="Q10" s="10"/>
      <c r="R10" s="10"/>
      <c r="S10" s="10"/>
      <c r="T10" s="10"/>
      <c r="U10" s="24"/>
    </row>
    <row r="11" spans="1:21" ht="12" customHeight="1" thickBot="1">
      <c r="A11" s="117"/>
      <c r="B11" s="118" t="s">
        <v>8</v>
      </c>
      <c r="C11" s="119" t="s">
        <v>9</v>
      </c>
      <c r="D11" s="120" t="s">
        <v>10</v>
      </c>
      <c r="E11" s="121" t="s">
        <v>11</v>
      </c>
      <c r="F11" s="122" t="s">
        <v>13</v>
      </c>
      <c r="G11" s="123" t="s">
        <v>12</v>
      </c>
      <c r="H11" s="124" t="s">
        <v>11</v>
      </c>
      <c r="I11" s="122" t="s">
        <v>14</v>
      </c>
      <c r="J11" s="123" t="s">
        <v>12</v>
      </c>
      <c r="K11" s="124" t="s">
        <v>15</v>
      </c>
      <c r="L11" s="122" t="s">
        <v>13</v>
      </c>
      <c r="M11" s="123" t="s">
        <v>12</v>
      </c>
      <c r="N11" s="125" t="s">
        <v>16</v>
      </c>
      <c r="O11" s="126" t="s">
        <v>17</v>
      </c>
      <c r="P11" s="127"/>
      <c r="Q11" s="10"/>
      <c r="R11" s="12"/>
      <c r="S11" s="12"/>
      <c r="T11" s="10"/>
      <c r="U11" s="24"/>
    </row>
    <row r="12" spans="1:21" ht="12" customHeight="1">
      <c r="A12" s="14"/>
      <c r="B12" s="54"/>
      <c r="C12" s="54"/>
      <c r="D12" s="55">
        <f aca="true" t="shared" si="0" ref="D12:D31">B12*C12</f>
        <v>0</v>
      </c>
      <c r="E12" s="31">
        <f aca="true" t="shared" si="1" ref="E12:E31">B12*7</f>
        <v>0</v>
      </c>
      <c r="F12" s="32"/>
      <c r="G12" s="33">
        <f aca="true" t="shared" si="2" ref="G12:G31">IF(F12="","",D12*50/F12)</f>
      </c>
      <c r="H12" s="56">
        <f aca="true" t="shared" si="3" ref="H12:H31">B12*10</f>
        <v>0</v>
      </c>
      <c r="I12" s="34"/>
      <c r="J12" s="33">
        <f aca="true" t="shared" si="4" ref="J12:J31">IF(I12="","",D12*110/I12)</f>
      </c>
      <c r="K12" s="31">
        <f aca="true" t="shared" si="5" ref="K12:K31">B12*14</f>
        <v>0</v>
      </c>
      <c r="L12" s="34"/>
      <c r="M12" s="33">
        <f aca="true" t="shared" si="6" ref="M12:M31">IF(L12="","",D12*196/L12)</f>
      </c>
      <c r="N12" s="57">
        <f>D12*N10</f>
        <v>0</v>
      </c>
      <c r="O12" s="57">
        <f>D12*O10</f>
        <v>0</v>
      </c>
      <c r="P12" s="21">
        <f>IF(B12="","",((B12*2)+(C12*2))+1)</f>
      </c>
      <c r="Q12" s="10"/>
      <c r="R12" s="12"/>
      <c r="S12" s="12"/>
      <c r="T12" s="10"/>
      <c r="U12" s="24"/>
    </row>
    <row r="13" spans="1:21" ht="12" customHeight="1">
      <c r="A13" s="14"/>
      <c r="B13" s="58"/>
      <c r="C13" s="58"/>
      <c r="D13" s="59">
        <f t="shared" si="0"/>
        <v>0</v>
      </c>
      <c r="E13" s="35">
        <f t="shared" si="1"/>
        <v>0</v>
      </c>
      <c r="F13" s="36"/>
      <c r="G13" s="37">
        <f t="shared" si="2"/>
      </c>
      <c r="H13" s="60">
        <f t="shared" si="3"/>
        <v>0</v>
      </c>
      <c r="I13" s="38"/>
      <c r="J13" s="37">
        <f t="shared" si="4"/>
      </c>
      <c r="K13" s="35">
        <f t="shared" si="5"/>
        <v>0</v>
      </c>
      <c r="L13" s="38"/>
      <c r="M13" s="37">
        <f t="shared" si="6"/>
      </c>
      <c r="N13" s="61">
        <f>D13*N10</f>
        <v>0</v>
      </c>
      <c r="O13" s="61">
        <f>D13*O10</f>
        <v>0</v>
      </c>
      <c r="P13" s="22">
        <f aca="true" t="shared" si="7" ref="P13:P31">IF(B13="","",((B13*2)+(C13*2))+1)</f>
      </c>
      <c r="Q13" s="10"/>
      <c r="R13" s="10"/>
      <c r="S13" s="10"/>
      <c r="T13" s="10"/>
      <c r="U13" s="24"/>
    </row>
    <row r="14" spans="1:21" ht="12" customHeight="1">
      <c r="A14" s="14"/>
      <c r="B14" s="58"/>
      <c r="C14" s="58"/>
      <c r="D14" s="59">
        <f t="shared" si="0"/>
        <v>0</v>
      </c>
      <c r="E14" s="35">
        <f t="shared" si="1"/>
        <v>0</v>
      </c>
      <c r="F14" s="36"/>
      <c r="G14" s="37">
        <f t="shared" si="2"/>
      </c>
      <c r="H14" s="60">
        <f t="shared" si="3"/>
        <v>0</v>
      </c>
      <c r="I14" s="38"/>
      <c r="J14" s="37">
        <f t="shared" si="4"/>
      </c>
      <c r="K14" s="35">
        <f t="shared" si="5"/>
        <v>0</v>
      </c>
      <c r="L14" s="38"/>
      <c r="M14" s="37">
        <f t="shared" si="6"/>
      </c>
      <c r="N14" s="61">
        <f>D14*N10</f>
        <v>0</v>
      </c>
      <c r="O14" s="61">
        <f>D14*O10</f>
        <v>0</v>
      </c>
      <c r="P14" s="22">
        <f t="shared" si="7"/>
      </c>
      <c r="Q14" s="10"/>
      <c r="R14" s="10"/>
      <c r="S14" s="10"/>
      <c r="T14" s="10"/>
      <c r="U14" s="24"/>
    </row>
    <row r="15" spans="1:21" ht="12" customHeight="1">
      <c r="A15" s="14"/>
      <c r="B15" s="58"/>
      <c r="C15" s="58"/>
      <c r="D15" s="59">
        <f t="shared" si="0"/>
        <v>0</v>
      </c>
      <c r="E15" s="35">
        <f t="shared" si="1"/>
        <v>0</v>
      </c>
      <c r="F15" s="36"/>
      <c r="G15" s="37">
        <f t="shared" si="2"/>
      </c>
      <c r="H15" s="60">
        <f t="shared" si="3"/>
        <v>0</v>
      </c>
      <c r="I15" s="38"/>
      <c r="J15" s="37">
        <f t="shared" si="4"/>
      </c>
      <c r="K15" s="35">
        <f t="shared" si="5"/>
        <v>0</v>
      </c>
      <c r="L15" s="38"/>
      <c r="M15" s="37">
        <f t="shared" si="6"/>
      </c>
      <c r="N15" s="61">
        <f>D15*N10</f>
        <v>0</v>
      </c>
      <c r="O15" s="61">
        <f>D15*O10</f>
        <v>0</v>
      </c>
      <c r="P15" s="22">
        <f t="shared" si="7"/>
      </c>
      <c r="Q15" s="10"/>
      <c r="R15" s="10"/>
      <c r="S15" s="10"/>
      <c r="T15" s="10"/>
      <c r="U15" s="24"/>
    </row>
    <row r="16" spans="1:21" ht="12" customHeight="1">
      <c r="A16" s="14"/>
      <c r="B16" s="58"/>
      <c r="C16" s="58"/>
      <c r="D16" s="59">
        <f t="shared" si="0"/>
        <v>0</v>
      </c>
      <c r="E16" s="35">
        <f t="shared" si="1"/>
        <v>0</v>
      </c>
      <c r="F16" s="36"/>
      <c r="G16" s="37">
        <f t="shared" si="2"/>
      </c>
      <c r="H16" s="60">
        <f t="shared" si="3"/>
        <v>0</v>
      </c>
      <c r="I16" s="38"/>
      <c r="J16" s="37">
        <f t="shared" si="4"/>
      </c>
      <c r="K16" s="35">
        <f t="shared" si="5"/>
        <v>0</v>
      </c>
      <c r="L16" s="38"/>
      <c r="M16" s="37">
        <f t="shared" si="6"/>
      </c>
      <c r="N16" s="61">
        <f>D16*N10</f>
        <v>0</v>
      </c>
      <c r="O16" s="61">
        <f>D16*O10</f>
        <v>0</v>
      </c>
      <c r="P16" s="22">
        <f t="shared" si="7"/>
      </c>
      <c r="Q16" s="10"/>
      <c r="R16" s="10"/>
      <c r="S16" s="10"/>
      <c r="T16" s="10"/>
      <c r="U16" s="24"/>
    </row>
    <row r="17" spans="1:21" ht="12" customHeight="1">
      <c r="A17" s="14"/>
      <c r="B17" s="58"/>
      <c r="C17" s="58"/>
      <c r="D17" s="59">
        <f t="shared" si="0"/>
        <v>0</v>
      </c>
      <c r="E17" s="35">
        <f t="shared" si="1"/>
        <v>0</v>
      </c>
      <c r="F17" s="36"/>
      <c r="G17" s="37">
        <f t="shared" si="2"/>
      </c>
      <c r="H17" s="60">
        <f t="shared" si="3"/>
        <v>0</v>
      </c>
      <c r="I17" s="38"/>
      <c r="J17" s="37">
        <f t="shared" si="4"/>
      </c>
      <c r="K17" s="35">
        <f t="shared" si="5"/>
        <v>0</v>
      </c>
      <c r="L17" s="38"/>
      <c r="M17" s="37">
        <f t="shared" si="6"/>
      </c>
      <c r="N17" s="61">
        <f>D17*N10</f>
        <v>0</v>
      </c>
      <c r="O17" s="61">
        <f>D17*O10</f>
        <v>0</v>
      </c>
      <c r="P17" s="22">
        <f t="shared" si="7"/>
      </c>
      <c r="Q17" s="10"/>
      <c r="R17" s="12"/>
      <c r="S17" s="10"/>
      <c r="T17" s="10"/>
      <c r="U17" s="24"/>
    </row>
    <row r="18" spans="1:21" ht="12" customHeight="1">
      <c r="A18" s="14"/>
      <c r="B18" s="58"/>
      <c r="C18" s="58"/>
      <c r="D18" s="59">
        <f t="shared" si="0"/>
        <v>0</v>
      </c>
      <c r="E18" s="35">
        <f t="shared" si="1"/>
        <v>0</v>
      </c>
      <c r="F18" s="36"/>
      <c r="G18" s="37">
        <f t="shared" si="2"/>
      </c>
      <c r="H18" s="60">
        <f t="shared" si="3"/>
        <v>0</v>
      </c>
      <c r="I18" s="38"/>
      <c r="J18" s="37">
        <f t="shared" si="4"/>
      </c>
      <c r="K18" s="35">
        <f t="shared" si="5"/>
        <v>0</v>
      </c>
      <c r="L18" s="38"/>
      <c r="M18" s="37">
        <f t="shared" si="6"/>
      </c>
      <c r="N18" s="61">
        <f>D18*N10</f>
        <v>0</v>
      </c>
      <c r="O18" s="61">
        <f>D18*O10</f>
        <v>0</v>
      </c>
      <c r="P18" s="22">
        <f t="shared" si="7"/>
      </c>
      <c r="Q18" s="10"/>
      <c r="R18" s="10"/>
      <c r="S18" s="10"/>
      <c r="T18" s="10"/>
      <c r="U18" s="24"/>
    </row>
    <row r="19" spans="1:21" ht="12" customHeight="1">
      <c r="A19" s="14"/>
      <c r="B19" s="58"/>
      <c r="C19" s="58"/>
      <c r="D19" s="59">
        <f t="shared" si="0"/>
        <v>0</v>
      </c>
      <c r="E19" s="35">
        <f t="shared" si="1"/>
        <v>0</v>
      </c>
      <c r="F19" s="36"/>
      <c r="G19" s="37">
        <f t="shared" si="2"/>
      </c>
      <c r="H19" s="60">
        <f t="shared" si="3"/>
        <v>0</v>
      </c>
      <c r="I19" s="38"/>
      <c r="J19" s="37">
        <f t="shared" si="4"/>
      </c>
      <c r="K19" s="35">
        <f t="shared" si="5"/>
        <v>0</v>
      </c>
      <c r="L19" s="38"/>
      <c r="M19" s="37">
        <f t="shared" si="6"/>
      </c>
      <c r="N19" s="61">
        <f>D19*N10</f>
        <v>0</v>
      </c>
      <c r="O19" s="61">
        <f>D19*O10</f>
        <v>0</v>
      </c>
      <c r="P19" s="22">
        <f t="shared" si="7"/>
      </c>
      <c r="Q19" s="10"/>
      <c r="R19" s="10"/>
      <c r="S19" s="10"/>
      <c r="T19" s="10"/>
      <c r="U19" s="24"/>
    </row>
    <row r="20" spans="1:21" ht="12" customHeight="1">
      <c r="A20" s="14"/>
      <c r="B20" s="62"/>
      <c r="C20" s="62"/>
      <c r="D20" s="59">
        <f t="shared" si="0"/>
        <v>0</v>
      </c>
      <c r="E20" s="35">
        <f t="shared" si="1"/>
        <v>0</v>
      </c>
      <c r="F20" s="36"/>
      <c r="G20" s="37">
        <f t="shared" si="2"/>
      </c>
      <c r="H20" s="60">
        <f t="shared" si="3"/>
        <v>0</v>
      </c>
      <c r="I20" s="38"/>
      <c r="J20" s="37">
        <f t="shared" si="4"/>
      </c>
      <c r="K20" s="35">
        <f t="shared" si="5"/>
        <v>0</v>
      </c>
      <c r="L20" s="38"/>
      <c r="M20" s="37">
        <f t="shared" si="6"/>
      </c>
      <c r="N20" s="61">
        <f>D20*N10</f>
        <v>0</v>
      </c>
      <c r="O20" s="61">
        <f>D20*O10</f>
        <v>0</v>
      </c>
      <c r="P20" s="22">
        <f t="shared" si="7"/>
      </c>
      <c r="Q20" s="10"/>
      <c r="R20" s="10"/>
      <c r="S20" s="10"/>
      <c r="T20" s="10"/>
      <c r="U20" s="24"/>
    </row>
    <row r="21" spans="1:21" ht="12" customHeight="1">
      <c r="A21" s="14"/>
      <c r="B21" s="58"/>
      <c r="C21" s="58"/>
      <c r="D21" s="59">
        <f t="shared" si="0"/>
        <v>0</v>
      </c>
      <c r="E21" s="35">
        <f t="shared" si="1"/>
        <v>0</v>
      </c>
      <c r="F21" s="36"/>
      <c r="G21" s="37">
        <f t="shared" si="2"/>
      </c>
      <c r="H21" s="60">
        <f t="shared" si="3"/>
        <v>0</v>
      </c>
      <c r="I21" s="38"/>
      <c r="J21" s="37">
        <f t="shared" si="4"/>
      </c>
      <c r="K21" s="35">
        <f t="shared" si="5"/>
        <v>0</v>
      </c>
      <c r="L21" s="38"/>
      <c r="M21" s="37">
        <f t="shared" si="6"/>
      </c>
      <c r="N21" s="61">
        <f>D21*N10</f>
        <v>0</v>
      </c>
      <c r="O21" s="61">
        <f>D21*O10</f>
        <v>0</v>
      </c>
      <c r="P21" s="22">
        <f t="shared" si="7"/>
      </c>
      <c r="Q21" s="12"/>
      <c r="R21" s="10"/>
      <c r="S21" s="10"/>
      <c r="T21" s="10"/>
      <c r="U21" s="24"/>
    </row>
    <row r="22" spans="1:21" ht="12" customHeight="1">
      <c r="A22" s="14"/>
      <c r="B22" s="58"/>
      <c r="C22" s="58"/>
      <c r="D22" s="59">
        <f t="shared" si="0"/>
        <v>0</v>
      </c>
      <c r="E22" s="35">
        <f t="shared" si="1"/>
        <v>0</v>
      </c>
      <c r="F22" s="36"/>
      <c r="G22" s="37">
        <f t="shared" si="2"/>
      </c>
      <c r="H22" s="60">
        <f t="shared" si="3"/>
        <v>0</v>
      </c>
      <c r="I22" s="38"/>
      <c r="J22" s="37">
        <f t="shared" si="4"/>
      </c>
      <c r="K22" s="35">
        <f t="shared" si="5"/>
        <v>0</v>
      </c>
      <c r="L22" s="38"/>
      <c r="M22" s="37">
        <f t="shared" si="6"/>
      </c>
      <c r="N22" s="61">
        <f>D22*N10</f>
        <v>0</v>
      </c>
      <c r="O22" s="61">
        <f>D22*O10</f>
        <v>0</v>
      </c>
      <c r="P22" s="22">
        <f t="shared" si="7"/>
      </c>
      <c r="Q22" s="12"/>
      <c r="R22" s="10"/>
      <c r="S22" s="10"/>
      <c r="T22" s="10"/>
      <c r="U22" s="24"/>
    </row>
    <row r="23" spans="1:21" ht="12" customHeight="1">
      <c r="A23" s="14"/>
      <c r="B23" s="58"/>
      <c r="C23" s="58"/>
      <c r="D23" s="59">
        <f t="shared" si="0"/>
        <v>0</v>
      </c>
      <c r="E23" s="35">
        <f t="shared" si="1"/>
        <v>0</v>
      </c>
      <c r="F23" s="36"/>
      <c r="G23" s="37">
        <f t="shared" si="2"/>
      </c>
      <c r="H23" s="60">
        <f t="shared" si="3"/>
        <v>0</v>
      </c>
      <c r="I23" s="38"/>
      <c r="J23" s="37">
        <f t="shared" si="4"/>
      </c>
      <c r="K23" s="35">
        <f t="shared" si="5"/>
        <v>0</v>
      </c>
      <c r="L23" s="38"/>
      <c r="M23" s="37">
        <f t="shared" si="6"/>
      </c>
      <c r="N23" s="61">
        <f>D23*N10</f>
        <v>0</v>
      </c>
      <c r="O23" s="61">
        <f>D23*O10</f>
        <v>0</v>
      </c>
      <c r="P23" s="22">
        <f t="shared" si="7"/>
      </c>
      <c r="Q23" s="12"/>
      <c r="R23" s="10"/>
      <c r="S23" s="10"/>
      <c r="T23" s="10"/>
      <c r="U23" s="24"/>
    </row>
    <row r="24" spans="1:21" ht="12" customHeight="1">
      <c r="A24" s="14"/>
      <c r="B24" s="58"/>
      <c r="C24" s="58"/>
      <c r="D24" s="59">
        <f t="shared" si="0"/>
        <v>0</v>
      </c>
      <c r="E24" s="35">
        <f t="shared" si="1"/>
        <v>0</v>
      </c>
      <c r="F24" s="36"/>
      <c r="G24" s="37">
        <f t="shared" si="2"/>
      </c>
      <c r="H24" s="60">
        <f t="shared" si="3"/>
        <v>0</v>
      </c>
      <c r="I24" s="38"/>
      <c r="J24" s="37">
        <f t="shared" si="4"/>
      </c>
      <c r="K24" s="35">
        <f t="shared" si="5"/>
        <v>0</v>
      </c>
      <c r="L24" s="38"/>
      <c r="M24" s="37">
        <f t="shared" si="6"/>
      </c>
      <c r="N24" s="61">
        <f>D24*N10</f>
        <v>0</v>
      </c>
      <c r="O24" s="61">
        <f>D24*O10</f>
        <v>0</v>
      </c>
      <c r="P24" s="22">
        <f t="shared" si="7"/>
      </c>
      <c r="Q24" s="12"/>
      <c r="R24" s="10"/>
      <c r="S24" s="10"/>
      <c r="T24" s="10"/>
      <c r="U24" s="24"/>
    </row>
    <row r="25" spans="1:21" ht="12" customHeight="1">
      <c r="A25" s="14"/>
      <c r="B25" s="58"/>
      <c r="C25" s="58"/>
      <c r="D25" s="59">
        <f t="shared" si="0"/>
        <v>0</v>
      </c>
      <c r="E25" s="35">
        <f t="shared" si="1"/>
        <v>0</v>
      </c>
      <c r="F25" s="36"/>
      <c r="G25" s="37">
        <f t="shared" si="2"/>
      </c>
      <c r="H25" s="60">
        <f t="shared" si="3"/>
        <v>0</v>
      </c>
      <c r="I25" s="38"/>
      <c r="J25" s="37">
        <f t="shared" si="4"/>
      </c>
      <c r="K25" s="35">
        <f t="shared" si="5"/>
        <v>0</v>
      </c>
      <c r="L25" s="38"/>
      <c r="M25" s="37">
        <f t="shared" si="6"/>
      </c>
      <c r="N25" s="61">
        <f>D25*N10</f>
        <v>0</v>
      </c>
      <c r="O25" s="61">
        <f>D25*O10</f>
        <v>0</v>
      </c>
      <c r="P25" s="22">
        <f t="shared" si="7"/>
      </c>
      <c r="Q25" s="12"/>
      <c r="R25" s="10"/>
      <c r="S25" s="10"/>
      <c r="T25" s="10"/>
      <c r="U25" s="24"/>
    </row>
    <row r="26" spans="1:21" ht="12" customHeight="1">
      <c r="A26" s="14"/>
      <c r="B26" s="58"/>
      <c r="C26" s="58"/>
      <c r="D26" s="59">
        <f t="shared" si="0"/>
        <v>0</v>
      </c>
      <c r="E26" s="35">
        <f t="shared" si="1"/>
        <v>0</v>
      </c>
      <c r="F26" s="36"/>
      <c r="G26" s="37">
        <f t="shared" si="2"/>
      </c>
      <c r="H26" s="60">
        <f t="shared" si="3"/>
        <v>0</v>
      </c>
      <c r="I26" s="38"/>
      <c r="J26" s="37">
        <f t="shared" si="4"/>
      </c>
      <c r="K26" s="35">
        <f t="shared" si="5"/>
        <v>0</v>
      </c>
      <c r="L26" s="38"/>
      <c r="M26" s="37">
        <f t="shared" si="6"/>
      </c>
      <c r="N26" s="61">
        <f>D26*N10</f>
        <v>0</v>
      </c>
      <c r="O26" s="61">
        <f>D26*O10</f>
        <v>0</v>
      </c>
      <c r="P26" s="22">
        <f t="shared" si="7"/>
      </c>
      <c r="Q26" s="12"/>
      <c r="R26" s="10"/>
      <c r="S26" s="10"/>
      <c r="T26" s="10"/>
      <c r="U26" s="24"/>
    </row>
    <row r="27" spans="1:21" ht="12" customHeight="1">
      <c r="A27" s="14"/>
      <c r="B27" s="58"/>
      <c r="C27" s="58"/>
      <c r="D27" s="59">
        <f t="shared" si="0"/>
        <v>0</v>
      </c>
      <c r="E27" s="35">
        <f t="shared" si="1"/>
        <v>0</v>
      </c>
      <c r="F27" s="36"/>
      <c r="G27" s="37">
        <f t="shared" si="2"/>
      </c>
      <c r="H27" s="60">
        <f t="shared" si="3"/>
        <v>0</v>
      </c>
      <c r="I27" s="38"/>
      <c r="J27" s="37">
        <f t="shared" si="4"/>
      </c>
      <c r="K27" s="35">
        <f t="shared" si="5"/>
        <v>0</v>
      </c>
      <c r="L27" s="38"/>
      <c r="M27" s="37">
        <f t="shared" si="6"/>
      </c>
      <c r="N27" s="61">
        <f>D27*N10</f>
        <v>0</v>
      </c>
      <c r="O27" s="61">
        <f>D27*O10</f>
        <v>0</v>
      </c>
      <c r="P27" s="22">
        <f t="shared" si="7"/>
      </c>
      <c r="Q27" s="12"/>
      <c r="R27" s="10"/>
      <c r="S27" s="10"/>
      <c r="T27" s="10"/>
      <c r="U27" s="24"/>
    </row>
    <row r="28" spans="1:21" ht="12" customHeight="1">
      <c r="A28" s="14"/>
      <c r="B28" s="58"/>
      <c r="C28" s="58"/>
      <c r="D28" s="59">
        <f t="shared" si="0"/>
        <v>0</v>
      </c>
      <c r="E28" s="35">
        <f t="shared" si="1"/>
        <v>0</v>
      </c>
      <c r="F28" s="36"/>
      <c r="G28" s="37">
        <f t="shared" si="2"/>
      </c>
      <c r="H28" s="60">
        <f t="shared" si="3"/>
        <v>0</v>
      </c>
      <c r="I28" s="38"/>
      <c r="J28" s="37">
        <f t="shared" si="4"/>
      </c>
      <c r="K28" s="35">
        <f t="shared" si="5"/>
        <v>0</v>
      </c>
      <c r="L28" s="38"/>
      <c r="M28" s="37">
        <f t="shared" si="6"/>
      </c>
      <c r="N28" s="61">
        <f>D28*N10</f>
        <v>0</v>
      </c>
      <c r="O28" s="61">
        <f>D28*O10</f>
        <v>0</v>
      </c>
      <c r="P28" s="22">
        <f t="shared" si="7"/>
      </c>
      <c r="Q28" s="12"/>
      <c r="R28" s="10"/>
      <c r="S28" s="10"/>
      <c r="T28" s="10"/>
      <c r="U28" s="24"/>
    </row>
    <row r="29" spans="1:21" ht="12" customHeight="1">
      <c r="A29" s="14"/>
      <c r="B29" s="58"/>
      <c r="C29" s="58"/>
      <c r="D29" s="59">
        <f t="shared" si="0"/>
        <v>0</v>
      </c>
      <c r="E29" s="35">
        <f t="shared" si="1"/>
        <v>0</v>
      </c>
      <c r="F29" s="36"/>
      <c r="G29" s="37">
        <f t="shared" si="2"/>
      </c>
      <c r="H29" s="60">
        <f t="shared" si="3"/>
        <v>0</v>
      </c>
      <c r="I29" s="38"/>
      <c r="J29" s="37">
        <f t="shared" si="4"/>
      </c>
      <c r="K29" s="35">
        <f t="shared" si="5"/>
        <v>0</v>
      </c>
      <c r="L29" s="38"/>
      <c r="M29" s="37">
        <f t="shared" si="6"/>
      </c>
      <c r="N29" s="61">
        <f>D29*N10</f>
        <v>0</v>
      </c>
      <c r="O29" s="61">
        <f>D29*O10</f>
        <v>0</v>
      </c>
      <c r="P29" s="22">
        <f t="shared" si="7"/>
      </c>
      <c r="Q29" s="12"/>
      <c r="R29" s="10"/>
      <c r="S29" s="10"/>
      <c r="T29" s="10"/>
      <c r="U29" s="24"/>
    </row>
    <row r="30" spans="1:21" s="1" customFormat="1" ht="12" customHeight="1" thickBot="1">
      <c r="A30" s="14"/>
      <c r="B30" s="58"/>
      <c r="C30" s="63"/>
      <c r="D30" s="59">
        <f t="shared" si="0"/>
        <v>0</v>
      </c>
      <c r="E30" s="35">
        <f t="shared" si="1"/>
        <v>0</v>
      </c>
      <c r="F30" s="36"/>
      <c r="G30" s="37">
        <f t="shared" si="2"/>
      </c>
      <c r="H30" s="60">
        <f t="shared" si="3"/>
        <v>0</v>
      </c>
      <c r="I30" s="38"/>
      <c r="J30" s="37">
        <f t="shared" si="4"/>
      </c>
      <c r="K30" s="35">
        <f t="shared" si="5"/>
        <v>0</v>
      </c>
      <c r="L30" s="38"/>
      <c r="M30" s="37">
        <f t="shared" si="6"/>
      </c>
      <c r="N30" s="61">
        <f>D30*N10</f>
        <v>0</v>
      </c>
      <c r="O30" s="61">
        <f>D30*O10</f>
        <v>0</v>
      </c>
      <c r="P30" s="22">
        <f t="shared" si="7"/>
      </c>
      <c r="Q30" s="15"/>
      <c r="R30" s="15"/>
      <c r="S30" s="9"/>
      <c r="T30" s="9"/>
      <c r="U30" s="25"/>
    </row>
    <row r="31" spans="1:16" ht="12" customHeight="1" thickBot="1">
      <c r="A31" s="14"/>
      <c r="B31" s="64"/>
      <c r="C31" s="64"/>
      <c r="D31" s="65">
        <f t="shared" si="0"/>
        <v>0</v>
      </c>
      <c r="E31" s="39">
        <f t="shared" si="1"/>
        <v>0</v>
      </c>
      <c r="F31" s="40"/>
      <c r="G31" s="41">
        <f t="shared" si="2"/>
      </c>
      <c r="H31" s="66">
        <f t="shared" si="3"/>
        <v>0</v>
      </c>
      <c r="I31" s="42"/>
      <c r="J31" s="41">
        <f t="shared" si="4"/>
      </c>
      <c r="K31" s="39">
        <f t="shared" si="5"/>
        <v>0</v>
      </c>
      <c r="L31" s="42"/>
      <c r="M31" s="41">
        <f t="shared" si="6"/>
      </c>
      <c r="N31" s="67">
        <f>D31*N10</f>
        <v>0</v>
      </c>
      <c r="O31" s="67">
        <f>D31*O10</f>
        <v>0</v>
      </c>
      <c r="P31" s="23">
        <f t="shared" si="7"/>
      </c>
    </row>
    <row r="32" spans="1:16" ht="12" customHeight="1">
      <c r="A32" s="128" t="s">
        <v>18</v>
      </c>
      <c r="B32" s="129"/>
      <c r="C32" s="130">
        <f>SUM(D12:D31)</f>
        <v>0</v>
      </c>
      <c r="D32" s="131"/>
      <c r="E32" s="132"/>
      <c r="F32" s="133"/>
      <c r="G32" s="133"/>
      <c r="H32" s="133"/>
      <c r="I32" s="133"/>
      <c r="J32" s="134"/>
      <c r="K32" s="135" t="s">
        <v>19</v>
      </c>
      <c r="L32" s="136"/>
      <c r="M32" s="137"/>
      <c r="N32" s="138" t="s">
        <v>20</v>
      </c>
      <c r="O32" s="139" t="s">
        <v>21</v>
      </c>
      <c r="P32" s="140" t="s">
        <v>7</v>
      </c>
    </row>
    <row r="33" spans="1:16" ht="12" customHeight="1" thickBot="1">
      <c r="A33" s="141"/>
      <c r="B33" s="142"/>
      <c r="C33" s="143"/>
      <c r="D33" s="144"/>
      <c r="E33" s="145"/>
      <c r="F33" s="146"/>
      <c r="G33" s="146"/>
      <c r="H33" s="146"/>
      <c r="I33" s="146"/>
      <c r="J33" s="147"/>
      <c r="K33" s="148">
        <f>IF(B12="","",SUM($B$12:$C$31)/0.2)</f>
      </c>
      <c r="L33" s="149"/>
      <c r="M33" s="150"/>
      <c r="N33" s="151">
        <f>SUM(N12:N31)</f>
        <v>0</v>
      </c>
      <c r="O33" s="151">
        <f>SUM(O12:O31)</f>
        <v>0</v>
      </c>
      <c r="P33" s="152">
        <f>SUM(P12:P31)</f>
        <v>0</v>
      </c>
    </row>
    <row r="35" ht="12" customHeight="1">
      <c r="L35" s="30"/>
    </row>
  </sheetData>
  <sheetProtection/>
  <mergeCells count="24">
    <mergeCell ref="A6:B6"/>
    <mergeCell ref="C6:G6"/>
    <mergeCell ref="O5:P5"/>
    <mergeCell ref="O6:P6"/>
    <mergeCell ref="L5:N5"/>
    <mergeCell ref="L6:N6"/>
    <mergeCell ref="H6:K6"/>
    <mergeCell ref="A1:P3"/>
    <mergeCell ref="K9:M10"/>
    <mergeCell ref="C7:E7"/>
    <mergeCell ref="P9:P11"/>
    <mergeCell ref="A9:A11"/>
    <mergeCell ref="E9:G10"/>
    <mergeCell ref="L7:N7"/>
    <mergeCell ref="O7:P7"/>
    <mergeCell ref="H7:K7"/>
    <mergeCell ref="H9:J10"/>
    <mergeCell ref="C32:D33"/>
    <mergeCell ref="B9:D10"/>
    <mergeCell ref="A8:P8"/>
    <mergeCell ref="A32:B33"/>
    <mergeCell ref="K32:M32"/>
    <mergeCell ref="K33:M33"/>
    <mergeCell ref="E32:J33"/>
  </mergeCells>
  <dataValidations count="1">
    <dataValidation type="list" allowBlank="1" showInputMessage="1" showErrorMessage="1" errorTitle="PRRENCHIMENTO INCORRETO" error="Escolha uma das opções disponíveis ou cadastre outros itens." sqref="A12:A31">
      <formula1>$U$2:$U$30</formula1>
    </dataValidation>
  </dataValidations>
  <printOptions horizontalCentered="1"/>
  <pageMargins left="0.2755905511811024" right="0.4330708661417323" top="0.6299212598425197" bottom="0.5905511811023623" header="0.31496062992125984" footer="0.31496062992125984"/>
  <pageSetup fitToHeight="1" fitToWidth="1" horizontalDpi="300" verticalDpi="300" orientation="portrait" paperSize="9" scale="7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>
    <tabColor indexed="44"/>
  </sheetPr>
  <dimension ref="A1:DZ4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2.57421875" style="6" customWidth="1"/>
    <col min="2" max="2" width="9.140625" style="6" customWidth="1"/>
    <col min="3" max="3" width="37.7109375" style="6" customWidth="1"/>
    <col min="4" max="6" width="14.57421875" style="6" customWidth="1"/>
    <col min="7" max="7" width="33.7109375" style="6" customWidth="1"/>
    <col min="8" max="8" width="11.140625" style="6" customWidth="1"/>
    <col min="9" max="9" width="12.7109375" style="6" customWidth="1"/>
    <col min="10" max="11" width="26.421875" style="6" customWidth="1"/>
    <col min="12" max="16" width="9.140625" style="7" customWidth="1"/>
    <col min="17" max="17" width="23.28125" style="7" bestFit="1" customWidth="1"/>
    <col min="18" max="22" width="9.140625" style="7" customWidth="1"/>
    <col min="23" max="23" width="23.28125" style="6" bestFit="1" customWidth="1"/>
    <col min="24" max="28" width="9.140625" style="7" customWidth="1"/>
    <col min="29" max="29" width="23.28125" style="6" bestFit="1" customWidth="1"/>
    <col min="30" max="34" width="9.140625" style="7" customWidth="1"/>
    <col min="35" max="35" width="23.28125" style="6" bestFit="1" customWidth="1"/>
    <col min="36" max="40" width="9.140625" style="7" customWidth="1"/>
    <col min="41" max="41" width="23.28125" style="6" bestFit="1" customWidth="1"/>
    <col min="42" max="46" width="9.140625" style="7" customWidth="1"/>
    <col min="47" max="47" width="23.28125" style="6" bestFit="1" customWidth="1"/>
    <col min="48" max="52" width="9.140625" style="7" customWidth="1"/>
    <col min="53" max="53" width="23.28125" style="6" bestFit="1" customWidth="1"/>
    <col min="54" max="58" width="9.140625" style="7" customWidth="1"/>
    <col min="59" max="59" width="23.28125" style="6" bestFit="1" customWidth="1"/>
    <col min="60" max="64" width="9.140625" style="7" customWidth="1"/>
    <col min="65" max="65" width="23.28125" style="6" bestFit="1" customWidth="1"/>
    <col min="66" max="70" width="9.140625" style="7" customWidth="1"/>
    <col min="71" max="71" width="23.28125" style="6" bestFit="1" customWidth="1"/>
    <col min="72" max="76" width="9.140625" style="7" customWidth="1"/>
    <col min="77" max="77" width="23.28125" style="6" bestFit="1" customWidth="1"/>
    <col min="78" max="82" width="9.140625" style="7" customWidth="1"/>
    <col min="83" max="83" width="23.28125" style="6" bestFit="1" customWidth="1"/>
    <col min="84" max="88" width="9.140625" style="7" customWidth="1"/>
    <col min="89" max="89" width="23.28125" style="6" bestFit="1" customWidth="1"/>
    <col min="90" max="94" width="9.140625" style="7" customWidth="1"/>
    <col min="95" max="95" width="23.28125" style="6" bestFit="1" customWidth="1"/>
    <col min="96" max="100" width="9.140625" style="7" customWidth="1"/>
    <col min="101" max="101" width="23.28125" style="6" bestFit="1" customWidth="1"/>
    <col min="102" max="106" width="9.140625" style="7" customWidth="1"/>
    <col min="107" max="107" width="23.28125" style="6" bestFit="1" customWidth="1"/>
    <col min="108" max="112" width="9.140625" style="7" customWidth="1"/>
    <col min="113" max="113" width="23.28125" style="6" bestFit="1" customWidth="1"/>
    <col min="114" max="118" width="9.140625" style="7" customWidth="1"/>
    <col min="119" max="119" width="23.28125" style="6" bestFit="1" customWidth="1"/>
    <col min="120" max="124" width="9.140625" style="7" customWidth="1"/>
    <col min="125" max="125" width="23.28125" style="6" bestFit="1" customWidth="1"/>
    <col min="126" max="130" width="9.140625" style="7" customWidth="1"/>
    <col min="131" max="16384" width="9.140625" style="6" customWidth="1"/>
  </cols>
  <sheetData>
    <row r="1" spans="1:130" ht="26.25" customHeight="1" thickBot="1">
      <c r="A1" s="154" t="s">
        <v>86</v>
      </c>
      <c r="B1" s="155" t="s">
        <v>65</v>
      </c>
      <c r="C1" s="156" t="s">
        <v>70</v>
      </c>
      <c r="D1" s="157" t="s">
        <v>79</v>
      </c>
      <c r="E1" s="157" t="s">
        <v>77</v>
      </c>
      <c r="F1" s="158" t="s">
        <v>78</v>
      </c>
      <c r="G1" s="159" t="s">
        <v>26</v>
      </c>
      <c r="H1" s="160" t="s">
        <v>30</v>
      </c>
      <c r="I1" s="159" t="s">
        <v>29</v>
      </c>
      <c r="J1" s="160" t="s">
        <v>27</v>
      </c>
      <c r="K1" s="161" t="s">
        <v>35</v>
      </c>
      <c r="L1" s="161"/>
      <c r="M1" s="161"/>
      <c r="N1" s="161"/>
      <c r="O1" s="161"/>
      <c r="P1" s="161"/>
      <c r="Q1" s="162" t="s">
        <v>36</v>
      </c>
      <c r="R1" s="161"/>
      <c r="S1" s="161"/>
      <c r="T1" s="161"/>
      <c r="U1" s="161"/>
      <c r="V1" s="161"/>
      <c r="W1" s="162" t="s">
        <v>37</v>
      </c>
      <c r="X1" s="161"/>
      <c r="Y1" s="161"/>
      <c r="Z1" s="161"/>
      <c r="AA1" s="161"/>
      <c r="AB1" s="161"/>
      <c r="AC1" s="162" t="s">
        <v>38</v>
      </c>
      <c r="AD1" s="161"/>
      <c r="AE1" s="161"/>
      <c r="AF1" s="161"/>
      <c r="AG1" s="161"/>
      <c r="AH1" s="161"/>
      <c r="AI1" s="162" t="s">
        <v>39</v>
      </c>
      <c r="AJ1" s="161"/>
      <c r="AK1" s="161"/>
      <c r="AL1" s="161"/>
      <c r="AM1" s="161"/>
      <c r="AN1" s="161"/>
      <c r="AO1" s="162" t="s">
        <v>40</v>
      </c>
      <c r="AP1" s="161"/>
      <c r="AQ1" s="161"/>
      <c r="AR1" s="161"/>
      <c r="AS1" s="161"/>
      <c r="AT1" s="161"/>
      <c r="AU1" s="162" t="s">
        <v>41</v>
      </c>
      <c r="AV1" s="161"/>
      <c r="AW1" s="161"/>
      <c r="AX1" s="161"/>
      <c r="AY1" s="161"/>
      <c r="AZ1" s="161"/>
      <c r="BA1" s="162" t="s">
        <v>42</v>
      </c>
      <c r="BB1" s="161"/>
      <c r="BC1" s="161"/>
      <c r="BD1" s="161"/>
      <c r="BE1" s="161"/>
      <c r="BF1" s="161"/>
      <c r="BG1" s="162" t="s">
        <v>43</v>
      </c>
      <c r="BH1" s="161"/>
      <c r="BI1" s="161"/>
      <c r="BJ1" s="161"/>
      <c r="BK1" s="161"/>
      <c r="BL1" s="161"/>
      <c r="BM1" s="162" t="s">
        <v>44</v>
      </c>
      <c r="BN1" s="161"/>
      <c r="BO1" s="161"/>
      <c r="BP1" s="161"/>
      <c r="BQ1" s="161"/>
      <c r="BR1" s="161"/>
      <c r="BS1" s="162" t="s">
        <v>45</v>
      </c>
      <c r="BT1" s="161"/>
      <c r="BU1" s="161"/>
      <c r="BV1" s="161"/>
      <c r="BW1" s="161"/>
      <c r="BX1" s="161"/>
      <c r="BY1" s="162" t="s">
        <v>46</v>
      </c>
      <c r="BZ1" s="161"/>
      <c r="CA1" s="161"/>
      <c r="CB1" s="161"/>
      <c r="CC1" s="161"/>
      <c r="CD1" s="161"/>
      <c r="CE1" s="162" t="s">
        <v>47</v>
      </c>
      <c r="CF1" s="161"/>
      <c r="CG1" s="161"/>
      <c r="CH1" s="161"/>
      <c r="CI1" s="161"/>
      <c r="CJ1" s="161"/>
      <c r="CK1" s="162" t="s">
        <v>48</v>
      </c>
      <c r="CL1" s="161"/>
      <c r="CM1" s="161"/>
      <c r="CN1" s="161"/>
      <c r="CO1" s="161"/>
      <c r="CP1" s="161"/>
      <c r="CQ1" s="162" t="s">
        <v>49</v>
      </c>
      <c r="CR1" s="161"/>
      <c r="CS1" s="161"/>
      <c r="CT1" s="161"/>
      <c r="CU1" s="161"/>
      <c r="CV1" s="161"/>
      <c r="CW1" s="162" t="s">
        <v>50</v>
      </c>
      <c r="CX1" s="161"/>
      <c r="CY1" s="161"/>
      <c r="CZ1" s="161"/>
      <c r="DA1" s="161"/>
      <c r="DB1" s="161"/>
      <c r="DC1" s="162" t="s">
        <v>51</v>
      </c>
      <c r="DD1" s="161"/>
      <c r="DE1" s="161"/>
      <c r="DF1" s="161"/>
      <c r="DG1" s="161"/>
      <c r="DH1" s="161"/>
      <c r="DI1" s="162" t="s">
        <v>52</v>
      </c>
      <c r="DJ1" s="161"/>
      <c r="DK1" s="161"/>
      <c r="DL1" s="161"/>
      <c r="DM1" s="161"/>
      <c r="DN1" s="161"/>
      <c r="DO1" s="162" t="s">
        <v>53</v>
      </c>
      <c r="DP1" s="161"/>
      <c r="DQ1" s="161"/>
      <c r="DR1" s="161"/>
      <c r="DS1" s="161"/>
      <c r="DT1" s="161"/>
      <c r="DU1" s="162" t="s">
        <v>54</v>
      </c>
      <c r="DV1" s="161"/>
      <c r="DW1" s="161"/>
      <c r="DX1" s="161"/>
      <c r="DY1" s="161"/>
      <c r="DZ1" s="163"/>
    </row>
    <row r="2" spans="1:130" ht="13.5" thickBot="1">
      <c r="A2" s="164"/>
      <c r="B2" s="165"/>
      <c r="C2" s="166"/>
      <c r="D2" s="167"/>
      <c r="E2" s="167"/>
      <c r="F2" s="168"/>
      <c r="G2" s="169"/>
      <c r="H2" s="170"/>
      <c r="I2" s="169"/>
      <c r="J2" s="170"/>
      <c r="K2" s="171" t="s">
        <v>33</v>
      </c>
      <c r="L2" s="172" t="s">
        <v>71</v>
      </c>
      <c r="M2" s="173" t="s">
        <v>73</v>
      </c>
      <c r="N2" s="172" t="s">
        <v>72</v>
      </c>
      <c r="O2" s="173" t="s">
        <v>74</v>
      </c>
      <c r="P2" s="174" t="s">
        <v>75</v>
      </c>
      <c r="Q2" s="171" t="s">
        <v>33</v>
      </c>
      <c r="R2" s="172" t="s">
        <v>71</v>
      </c>
      <c r="S2" s="173" t="s">
        <v>73</v>
      </c>
      <c r="T2" s="172" t="s">
        <v>72</v>
      </c>
      <c r="U2" s="173" t="s">
        <v>74</v>
      </c>
      <c r="V2" s="174" t="s">
        <v>75</v>
      </c>
      <c r="W2" s="171" t="s">
        <v>33</v>
      </c>
      <c r="X2" s="172" t="s">
        <v>71</v>
      </c>
      <c r="Y2" s="173" t="s">
        <v>73</v>
      </c>
      <c r="Z2" s="172" t="s">
        <v>72</v>
      </c>
      <c r="AA2" s="173" t="s">
        <v>74</v>
      </c>
      <c r="AB2" s="174" t="s">
        <v>75</v>
      </c>
      <c r="AC2" s="171" t="s">
        <v>33</v>
      </c>
      <c r="AD2" s="172" t="s">
        <v>71</v>
      </c>
      <c r="AE2" s="173" t="s">
        <v>73</v>
      </c>
      <c r="AF2" s="172" t="s">
        <v>72</v>
      </c>
      <c r="AG2" s="173" t="s">
        <v>74</v>
      </c>
      <c r="AH2" s="174" t="s">
        <v>75</v>
      </c>
      <c r="AI2" s="171" t="s">
        <v>33</v>
      </c>
      <c r="AJ2" s="172" t="s">
        <v>71</v>
      </c>
      <c r="AK2" s="173" t="s">
        <v>73</v>
      </c>
      <c r="AL2" s="172" t="s">
        <v>72</v>
      </c>
      <c r="AM2" s="173" t="s">
        <v>74</v>
      </c>
      <c r="AN2" s="174" t="s">
        <v>75</v>
      </c>
      <c r="AO2" s="171" t="s">
        <v>33</v>
      </c>
      <c r="AP2" s="172" t="s">
        <v>71</v>
      </c>
      <c r="AQ2" s="173" t="s">
        <v>73</v>
      </c>
      <c r="AR2" s="172" t="s">
        <v>72</v>
      </c>
      <c r="AS2" s="173" t="s">
        <v>74</v>
      </c>
      <c r="AT2" s="174" t="s">
        <v>75</v>
      </c>
      <c r="AU2" s="171" t="s">
        <v>33</v>
      </c>
      <c r="AV2" s="172" t="s">
        <v>71</v>
      </c>
      <c r="AW2" s="173" t="s">
        <v>73</v>
      </c>
      <c r="AX2" s="172" t="s">
        <v>72</v>
      </c>
      <c r="AY2" s="173" t="s">
        <v>74</v>
      </c>
      <c r="AZ2" s="174" t="s">
        <v>75</v>
      </c>
      <c r="BA2" s="171" t="s">
        <v>33</v>
      </c>
      <c r="BB2" s="172" t="s">
        <v>71</v>
      </c>
      <c r="BC2" s="173" t="s">
        <v>73</v>
      </c>
      <c r="BD2" s="172" t="s">
        <v>72</v>
      </c>
      <c r="BE2" s="173" t="s">
        <v>74</v>
      </c>
      <c r="BF2" s="174" t="s">
        <v>75</v>
      </c>
      <c r="BG2" s="171" t="s">
        <v>33</v>
      </c>
      <c r="BH2" s="172" t="s">
        <v>71</v>
      </c>
      <c r="BI2" s="173" t="s">
        <v>73</v>
      </c>
      <c r="BJ2" s="172" t="s">
        <v>72</v>
      </c>
      <c r="BK2" s="173" t="s">
        <v>74</v>
      </c>
      <c r="BL2" s="174" t="s">
        <v>75</v>
      </c>
      <c r="BM2" s="171" t="s">
        <v>33</v>
      </c>
      <c r="BN2" s="172" t="s">
        <v>71</v>
      </c>
      <c r="BO2" s="173" t="s">
        <v>73</v>
      </c>
      <c r="BP2" s="172" t="s">
        <v>72</v>
      </c>
      <c r="BQ2" s="173" t="s">
        <v>74</v>
      </c>
      <c r="BR2" s="174" t="s">
        <v>75</v>
      </c>
      <c r="BS2" s="171" t="s">
        <v>33</v>
      </c>
      <c r="BT2" s="172" t="s">
        <v>71</v>
      </c>
      <c r="BU2" s="173" t="s">
        <v>73</v>
      </c>
      <c r="BV2" s="172" t="s">
        <v>72</v>
      </c>
      <c r="BW2" s="173" t="s">
        <v>74</v>
      </c>
      <c r="BX2" s="174" t="s">
        <v>75</v>
      </c>
      <c r="BY2" s="171" t="s">
        <v>33</v>
      </c>
      <c r="BZ2" s="172" t="s">
        <v>71</v>
      </c>
      <c r="CA2" s="173" t="s">
        <v>73</v>
      </c>
      <c r="CB2" s="172" t="s">
        <v>72</v>
      </c>
      <c r="CC2" s="173" t="s">
        <v>74</v>
      </c>
      <c r="CD2" s="174" t="s">
        <v>75</v>
      </c>
      <c r="CE2" s="171" t="s">
        <v>33</v>
      </c>
      <c r="CF2" s="172" t="s">
        <v>71</v>
      </c>
      <c r="CG2" s="173" t="s">
        <v>73</v>
      </c>
      <c r="CH2" s="172" t="s">
        <v>72</v>
      </c>
      <c r="CI2" s="173" t="s">
        <v>74</v>
      </c>
      <c r="CJ2" s="174" t="s">
        <v>75</v>
      </c>
      <c r="CK2" s="171" t="s">
        <v>33</v>
      </c>
      <c r="CL2" s="172" t="s">
        <v>71</v>
      </c>
      <c r="CM2" s="173" t="s">
        <v>73</v>
      </c>
      <c r="CN2" s="172" t="s">
        <v>72</v>
      </c>
      <c r="CO2" s="173" t="s">
        <v>74</v>
      </c>
      <c r="CP2" s="174" t="s">
        <v>75</v>
      </c>
      <c r="CQ2" s="171" t="s">
        <v>33</v>
      </c>
      <c r="CR2" s="172" t="s">
        <v>71</v>
      </c>
      <c r="CS2" s="173" t="s">
        <v>73</v>
      </c>
      <c r="CT2" s="172" t="s">
        <v>72</v>
      </c>
      <c r="CU2" s="173" t="s">
        <v>74</v>
      </c>
      <c r="CV2" s="174" t="s">
        <v>75</v>
      </c>
      <c r="CW2" s="171" t="s">
        <v>33</v>
      </c>
      <c r="CX2" s="172" t="s">
        <v>71</v>
      </c>
      <c r="CY2" s="173" t="s">
        <v>73</v>
      </c>
      <c r="CZ2" s="172" t="s">
        <v>72</v>
      </c>
      <c r="DA2" s="173" t="s">
        <v>74</v>
      </c>
      <c r="DB2" s="174" t="s">
        <v>75</v>
      </c>
      <c r="DC2" s="171" t="s">
        <v>33</v>
      </c>
      <c r="DD2" s="172" t="s">
        <v>71</v>
      </c>
      <c r="DE2" s="173" t="s">
        <v>73</v>
      </c>
      <c r="DF2" s="172" t="s">
        <v>72</v>
      </c>
      <c r="DG2" s="173" t="s">
        <v>74</v>
      </c>
      <c r="DH2" s="174" t="s">
        <v>75</v>
      </c>
      <c r="DI2" s="171" t="s">
        <v>33</v>
      </c>
      <c r="DJ2" s="172" t="s">
        <v>71</v>
      </c>
      <c r="DK2" s="173" t="s">
        <v>73</v>
      </c>
      <c r="DL2" s="172" t="s">
        <v>72</v>
      </c>
      <c r="DM2" s="173" t="s">
        <v>74</v>
      </c>
      <c r="DN2" s="174" t="s">
        <v>75</v>
      </c>
      <c r="DO2" s="171" t="s">
        <v>33</v>
      </c>
      <c r="DP2" s="172" t="s">
        <v>71</v>
      </c>
      <c r="DQ2" s="173" t="s">
        <v>73</v>
      </c>
      <c r="DR2" s="172" t="s">
        <v>72</v>
      </c>
      <c r="DS2" s="173" t="s">
        <v>74</v>
      </c>
      <c r="DT2" s="174" t="s">
        <v>75</v>
      </c>
      <c r="DU2" s="171" t="s">
        <v>33</v>
      </c>
      <c r="DV2" s="172" t="s">
        <v>71</v>
      </c>
      <c r="DW2" s="173" t="s">
        <v>73</v>
      </c>
      <c r="DX2" s="172" t="s">
        <v>72</v>
      </c>
      <c r="DY2" s="173" t="s">
        <v>74</v>
      </c>
      <c r="DZ2" s="174" t="s">
        <v>75</v>
      </c>
    </row>
    <row r="3" spans="1:58" ht="12.75">
      <c r="A3" s="6">
        <v>1</v>
      </c>
      <c r="B3" s="6">
        <v>2</v>
      </c>
      <c r="C3" s="6" t="s">
        <v>59</v>
      </c>
      <c r="D3" s="6" t="s">
        <v>60</v>
      </c>
      <c r="E3" s="6" t="s">
        <v>83</v>
      </c>
      <c r="F3" s="6" t="s">
        <v>84</v>
      </c>
      <c r="G3" s="6" t="s">
        <v>61</v>
      </c>
      <c r="H3" s="6">
        <v>35</v>
      </c>
      <c r="I3" s="6">
        <v>10</v>
      </c>
      <c r="J3" s="6" t="s">
        <v>62</v>
      </c>
      <c r="K3" s="6" t="s">
        <v>0</v>
      </c>
      <c r="L3" s="7">
        <v>1</v>
      </c>
      <c r="M3" s="7">
        <v>2</v>
      </c>
      <c r="N3" s="7">
        <v>3</v>
      </c>
      <c r="P3" s="7">
        <v>5</v>
      </c>
      <c r="Q3" s="7" t="s">
        <v>6</v>
      </c>
      <c r="R3" s="7">
        <v>6</v>
      </c>
      <c r="S3" s="7">
        <v>7</v>
      </c>
      <c r="T3" s="7">
        <v>8</v>
      </c>
      <c r="U3" s="7">
        <v>9</v>
      </c>
      <c r="V3" s="7">
        <v>5</v>
      </c>
      <c r="W3" s="6" t="s">
        <v>23</v>
      </c>
      <c r="X3" s="7">
        <v>11</v>
      </c>
      <c r="Y3" s="7">
        <v>12</v>
      </c>
      <c r="Z3" s="7">
        <v>13</v>
      </c>
      <c r="AA3" s="7">
        <v>14</v>
      </c>
      <c r="AB3" s="7">
        <v>15</v>
      </c>
      <c r="AC3" s="6" t="s">
        <v>68</v>
      </c>
      <c r="AD3" s="7">
        <v>16</v>
      </c>
      <c r="AE3" s="7">
        <v>17</v>
      </c>
      <c r="AF3" s="7">
        <v>18</v>
      </c>
      <c r="AG3" s="7">
        <v>19</v>
      </c>
      <c r="AH3" s="7">
        <v>20</v>
      </c>
      <c r="AI3" s="6" t="s">
        <v>25</v>
      </c>
      <c r="AJ3" s="7">
        <v>1</v>
      </c>
      <c r="AK3" s="7">
        <v>2</v>
      </c>
      <c r="AL3" s="7">
        <v>3</v>
      </c>
      <c r="AM3" s="7">
        <v>4</v>
      </c>
      <c r="AN3" s="7">
        <v>5</v>
      </c>
      <c r="AO3" s="6" t="s">
        <v>68</v>
      </c>
      <c r="AP3" s="7">
        <v>6</v>
      </c>
      <c r="AQ3" s="7">
        <v>7</v>
      </c>
      <c r="AR3" s="7">
        <v>8</v>
      </c>
      <c r="AS3" s="7">
        <v>9</v>
      </c>
      <c r="AT3" s="7">
        <v>10</v>
      </c>
      <c r="AU3" s="6" t="s">
        <v>25</v>
      </c>
      <c r="AV3" s="7">
        <v>1</v>
      </c>
      <c r="AW3" s="7">
        <v>2</v>
      </c>
      <c r="AX3" s="7">
        <v>3</v>
      </c>
      <c r="AY3" s="7">
        <v>4</v>
      </c>
      <c r="AZ3" s="7">
        <v>5</v>
      </c>
      <c r="BA3" s="6" t="s">
        <v>6</v>
      </c>
      <c r="BB3" s="7">
        <v>1</v>
      </c>
      <c r="BC3" s="7">
        <v>2</v>
      </c>
      <c r="BD3" s="7">
        <v>3</v>
      </c>
      <c r="BE3" s="7">
        <v>4</v>
      </c>
      <c r="BF3" s="7">
        <v>5</v>
      </c>
    </row>
    <row r="4" spans="1:28" ht="12.75">
      <c r="A4" s="6">
        <v>2</v>
      </c>
      <c r="B4" s="6">
        <v>1</v>
      </c>
      <c r="C4" s="6" t="s">
        <v>56</v>
      </c>
      <c r="D4" s="6" t="s">
        <v>81</v>
      </c>
      <c r="E4" s="6" t="s">
        <v>57</v>
      </c>
      <c r="F4" s="6" t="s">
        <v>82</v>
      </c>
      <c r="G4" s="6" t="s">
        <v>58</v>
      </c>
      <c r="H4" s="6">
        <v>15</v>
      </c>
      <c r="I4" s="6">
        <v>206</v>
      </c>
      <c r="J4" s="6" t="s">
        <v>66</v>
      </c>
      <c r="K4" s="6" t="s">
        <v>0</v>
      </c>
      <c r="L4" s="7">
        <v>1</v>
      </c>
      <c r="M4" s="7">
        <v>2</v>
      </c>
      <c r="O4" s="7">
        <v>3</v>
      </c>
      <c r="Q4" s="7" t="s">
        <v>76</v>
      </c>
      <c r="R4" s="7">
        <v>6</v>
      </c>
      <c r="S4" s="7">
        <v>7</v>
      </c>
      <c r="T4" s="7">
        <v>8</v>
      </c>
      <c r="U4" s="7">
        <v>9</v>
      </c>
      <c r="V4" s="7">
        <v>5</v>
      </c>
      <c r="W4" s="6" t="s">
        <v>24</v>
      </c>
      <c r="X4" s="7">
        <v>21</v>
      </c>
      <c r="Y4" s="7">
        <v>22</v>
      </c>
      <c r="Z4" s="7">
        <v>23</v>
      </c>
      <c r="AA4" s="7">
        <v>24</v>
      </c>
      <c r="AB4" s="7">
        <v>25</v>
      </c>
    </row>
  </sheetData>
  <sheetProtection/>
  <mergeCells count="30">
    <mergeCell ref="K1:P1"/>
    <mergeCell ref="Q1:V1"/>
    <mergeCell ref="AC1:AH1"/>
    <mergeCell ref="W1:AB1"/>
    <mergeCell ref="BS1:BX1"/>
    <mergeCell ref="BY1:CD1"/>
    <mergeCell ref="AI1:AN1"/>
    <mergeCell ref="AO1:AT1"/>
    <mergeCell ref="AU1:AZ1"/>
    <mergeCell ref="BA1:BF1"/>
    <mergeCell ref="BG1:BL1"/>
    <mergeCell ref="BM1:BR1"/>
    <mergeCell ref="DC1:DH1"/>
    <mergeCell ref="DI1:DN1"/>
    <mergeCell ref="DO1:DT1"/>
    <mergeCell ref="DU1:DZ1"/>
    <mergeCell ref="CE1:CJ1"/>
    <mergeCell ref="CK1:CP1"/>
    <mergeCell ref="CQ1:CV1"/>
    <mergeCell ref="CW1:DB1"/>
    <mergeCell ref="A1:A2"/>
    <mergeCell ref="H1:H2"/>
    <mergeCell ref="I1:I2"/>
    <mergeCell ref="J1:J2"/>
    <mergeCell ref="B1:B2"/>
    <mergeCell ref="C1:C2"/>
    <mergeCell ref="D1:D2"/>
    <mergeCell ref="G1:G2"/>
    <mergeCell ref="E1:E2"/>
    <mergeCell ref="F1:F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tabColor indexed="46"/>
    <pageSetUpPr fitToPage="1"/>
  </sheetPr>
  <dimension ref="A1:X43"/>
  <sheetViews>
    <sheetView showGridLines="0" zoomScaleSheetLayoutView="100" zoomScalePageLayoutView="0" workbookViewId="0" topLeftCell="A1">
      <selection activeCell="T27" sqref="T27"/>
    </sheetView>
  </sheetViews>
  <sheetFormatPr defaultColWidth="9.140625" defaultRowHeight="12" customHeight="1"/>
  <cols>
    <col min="1" max="1" width="9.7109375" style="4" customWidth="1"/>
    <col min="2" max="5" width="7.7109375" style="1" customWidth="1"/>
    <col min="6" max="6" width="7.7109375" style="4" customWidth="1"/>
    <col min="7" max="7" width="6.28125" style="1" customWidth="1"/>
    <col min="8" max="12" width="6.28125" style="5" customWidth="1"/>
    <col min="13" max="13" width="6.28125" style="1" customWidth="1"/>
    <col min="14" max="15" width="6.28125" style="4" customWidth="1"/>
    <col min="16" max="16" width="13.7109375" style="5" customWidth="1"/>
    <col min="17" max="17" width="13.7109375" style="4" customWidth="1"/>
    <col min="18" max="18" width="7.7109375" style="1" customWidth="1"/>
  </cols>
  <sheetData>
    <row r="1" spans="1:22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10"/>
      <c r="T1" s="10"/>
      <c r="U1" s="10"/>
      <c r="V1" s="10"/>
    </row>
    <row r="2" spans="1:22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10"/>
      <c r="T2" s="10"/>
      <c r="U2" s="10"/>
      <c r="V2" s="10"/>
    </row>
    <row r="3" spans="1:22" ht="12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0"/>
      <c r="T3" s="10"/>
      <c r="U3" s="10"/>
      <c r="V3" s="10"/>
    </row>
    <row r="4" spans="1:22" ht="12" customHeight="1">
      <c r="A4" s="83" t="s">
        <v>67</v>
      </c>
      <c r="B4" s="83"/>
      <c r="C4" s="83"/>
      <c r="D4" s="2" t="s">
        <v>86</v>
      </c>
      <c r="E4" s="2"/>
      <c r="F4" s="29">
        <v>1</v>
      </c>
      <c r="S4" s="10"/>
      <c r="T4" s="10"/>
      <c r="U4" s="10"/>
      <c r="V4" s="10"/>
    </row>
    <row r="5" spans="1:22" ht="12" customHeight="1">
      <c r="A5" s="9" t="s">
        <v>55</v>
      </c>
      <c r="B5" s="16">
        <f>IF($F$4="","",IF(VLOOKUP($F$4,BD_ORÇAMENTO!$A:$I,2,0)="","",VLOOKUP($F$4,BD_ORÇAMENTO!$A:$I,2,0)))</f>
        <v>2</v>
      </c>
      <c r="C5" s="16" t="str">
        <f>IF($F$4="","",IF(VLOOKUP($F$4,BD_ORÇAMENTO!$A:$I,2,0)="","",VLOOKUP($F$4,BD_ORÇAMENTO!$A:$I,3,0)))</f>
        <v>RICARDO MARCOS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80" t="s">
        <v>79</v>
      </c>
      <c r="O5" s="80"/>
      <c r="P5" s="80"/>
      <c r="Q5" s="81" t="str">
        <f>IF($F$4="","",IF(VLOOKUP($F$4,BD_ORÇAMENTO!$A:$I,5,0)="","",VLOOKUP($F$4,BD_ORÇAMENTO!$A:$I,4,0)))</f>
        <v>3742-0110</v>
      </c>
      <c r="R5" s="81"/>
      <c r="S5" s="10"/>
      <c r="T5" s="10"/>
      <c r="U5" s="10"/>
      <c r="V5" s="10"/>
    </row>
    <row r="6" spans="1:24" ht="12" customHeight="1">
      <c r="A6"/>
      <c r="B6"/>
      <c r="C6" s="79" t="s">
        <v>26</v>
      </c>
      <c r="D6" s="79"/>
      <c r="E6" s="79"/>
      <c r="F6" s="79"/>
      <c r="G6" s="79"/>
      <c r="H6" s="81" t="str">
        <f>IF($F$4="","",IF(VLOOKUP($F$4,BD_ORÇAMENTO!$A:$I,7,0)="","",VLOOKUP($F$4,BD_ORÇAMENTO!$A:$I,7,0)))</f>
        <v>RUA DAS FLORES</v>
      </c>
      <c r="I6" s="81"/>
      <c r="J6" s="81"/>
      <c r="K6" s="16"/>
      <c r="L6" s="16"/>
      <c r="M6" s="16"/>
      <c r="N6" s="16"/>
      <c r="O6" s="16"/>
      <c r="P6" s="53" t="s">
        <v>77</v>
      </c>
      <c r="Q6" s="81" t="str">
        <f>IF($F$4="","",IF(VLOOKUP($F$4,BD_ORÇAMENTO!$A:$I,5,0)="","",VLOOKUP($F$4,BD_ORÇAMENTO!$A:$I,5,0)))</f>
        <v>3742-0220</v>
      </c>
      <c r="R6" s="81"/>
      <c r="S6" s="16"/>
      <c r="T6" s="16"/>
      <c r="U6" s="10"/>
      <c r="V6" s="10"/>
      <c r="W6" s="10"/>
      <c r="X6" s="10"/>
    </row>
    <row r="7" spans="1:22" ht="12" customHeight="1" thickBot="1">
      <c r="A7" s="9" t="s">
        <v>30</v>
      </c>
      <c r="B7" s="17">
        <f>IF($F$4="","",IF(VLOOKUP($F$4,BD_ORÇAMENTO!$A:$I,8,0)="","",VLOOKUP($F$4,BD_ORÇAMENTO!$A:$I,8,0)))</f>
        <v>35</v>
      </c>
      <c r="C7" s="79" t="s">
        <v>63</v>
      </c>
      <c r="D7" s="79"/>
      <c r="E7" s="79"/>
      <c r="F7" s="79"/>
      <c r="G7" s="79"/>
      <c r="H7" s="17">
        <f>IF($F$4="","",IF(VLOOKUP($F$4,BD_ORÇAMENTO!$A:$I,9,0)="","",VLOOKUP($F$4,BD_ORÇAMENTO!$A:$I,9,0)))</f>
        <v>10</v>
      </c>
      <c r="I7" s="9" t="s">
        <v>85</v>
      </c>
      <c r="J7" s="82" t="str">
        <f>IF($F$4="","",IF(VLOOKUP($F$4,BD_ORÇAMENTO!$A:$J,10,0)="","",VLOOKUP($F$4,BD_ORÇAMENTO!$A:$J,10,0)))</f>
        <v>JOSÉ LINHARES</v>
      </c>
      <c r="K7" s="82"/>
      <c r="L7" s="82"/>
      <c r="M7" s="82"/>
      <c r="N7" s="80" t="s">
        <v>80</v>
      </c>
      <c r="O7" s="80"/>
      <c r="P7" s="80"/>
      <c r="Q7" s="82" t="str">
        <f>IF($F$4="","",IF(VLOOKUP($F$4,BD_ORÇAMENTO!$A:$I,6,0)="","",VLOOKUP($F$4,BD_ORÇAMENTO!$A:$I,6,0)))</f>
        <v>3742-0330</v>
      </c>
      <c r="R7" s="82"/>
      <c r="S7" s="10"/>
      <c r="T7" s="12"/>
      <c r="U7" s="10"/>
      <c r="V7" s="10"/>
    </row>
    <row r="8" spans="1:22" ht="12" customHeight="1">
      <c r="A8" s="92" t="s">
        <v>33</v>
      </c>
      <c r="B8" s="94" t="s">
        <v>1</v>
      </c>
      <c r="C8" s="94"/>
      <c r="D8" s="94"/>
      <c r="E8" s="94"/>
      <c r="F8" s="95"/>
      <c r="G8" s="96" t="s">
        <v>2</v>
      </c>
      <c r="H8" s="97"/>
      <c r="I8" s="98"/>
      <c r="J8" s="99" t="s">
        <v>3</v>
      </c>
      <c r="K8" s="100"/>
      <c r="L8" s="101"/>
      <c r="M8" s="99" t="s">
        <v>4</v>
      </c>
      <c r="N8" s="100"/>
      <c r="O8" s="101"/>
      <c r="P8" s="102" t="s">
        <v>5</v>
      </c>
      <c r="Q8" s="103" t="s">
        <v>5</v>
      </c>
      <c r="R8" s="104" t="s">
        <v>31</v>
      </c>
      <c r="S8" s="10"/>
      <c r="T8" s="10"/>
      <c r="U8" s="10"/>
      <c r="V8" s="10"/>
    </row>
    <row r="9" spans="1:22" ht="12" customHeight="1" thickBot="1">
      <c r="A9" s="105"/>
      <c r="B9" s="107"/>
      <c r="C9" s="107"/>
      <c r="D9" s="107"/>
      <c r="E9" s="107"/>
      <c r="F9" s="108"/>
      <c r="G9" s="109"/>
      <c r="H9" s="110"/>
      <c r="I9" s="111"/>
      <c r="J9" s="112"/>
      <c r="K9" s="113"/>
      <c r="L9" s="114"/>
      <c r="M9" s="112"/>
      <c r="N9" s="113"/>
      <c r="O9" s="114"/>
      <c r="P9" s="115">
        <v>20</v>
      </c>
      <c r="Q9" s="115">
        <v>25</v>
      </c>
      <c r="R9" s="116"/>
      <c r="S9" s="10"/>
      <c r="T9" s="10"/>
      <c r="U9" s="10"/>
      <c r="V9" s="10"/>
    </row>
    <row r="10" spans="1:22" ht="12" customHeight="1" thickBot="1">
      <c r="A10" s="117"/>
      <c r="B10" s="175" t="s">
        <v>8</v>
      </c>
      <c r="C10" s="119" t="s">
        <v>9</v>
      </c>
      <c r="D10" s="175" t="s">
        <v>8</v>
      </c>
      <c r="E10" s="119" t="s">
        <v>9</v>
      </c>
      <c r="F10" s="120" t="s">
        <v>10</v>
      </c>
      <c r="G10" s="176" t="s">
        <v>11</v>
      </c>
      <c r="H10" s="177" t="s">
        <v>13</v>
      </c>
      <c r="I10" s="178" t="s">
        <v>12</v>
      </c>
      <c r="J10" s="118" t="s">
        <v>11</v>
      </c>
      <c r="K10" s="179" t="s">
        <v>14</v>
      </c>
      <c r="L10" s="178" t="s">
        <v>12</v>
      </c>
      <c r="M10" s="175" t="s">
        <v>15</v>
      </c>
      <c r="N10" s="179" t="s">
        <v>13</v>
      </c>
      <c r="O10" s="178" t="s">
        <v>12</v>
      </c>
      <c r="P10" s="125" t="s">
        <v>16</v>
      </c>
      <c r="Q10" s="126" t="s">
        <v>17</v>
      </c>
      <c r="R10" s="127"/>
      <c r="S10" s="10"/>
      <c r="T10" s="12"/>
      <c r="U10" s="12"/>
      <c r="V10" s="10"/>
    </row>
    <row r="11" spans="1:22" ht="12" customHeight="1">
      <c r="A11" s="18" t="str">
        <f>IF($F$4="","",IF(VLOOKUP($F$4,BD_ORÇAMENTO!$A:$DZ,11,0)="","",VLOOKUP($F$4,BD_ORÇAMENTO!$A:$DZ,11,0)))</f>
        <v>QUARTO</v>
      </c>
      <c r="B11" s="68">
        <f>IF($F$4="","",IF(VLOOKUP($F$4,BD_ORÇAMENTO!$A:$DZ,12,0)=0,"",VLOOKUP($F$4,BD_ORÇAMENTO!$A:$DZ,12,0)))</f>
        <v>1</v>
      </c>
      <c r="C11" s="69">
        <f>IF($F$4="","",IF(VLOOKUP($F$4,BD_ORÇAMENTO!$A:$DZ,13,0)=0,"",VLOOKUP($F$4,BD_ORÇAMENTO!$A:$DZ,13,0)))</f>
        <v>2</v>
      </c>
      <c r="D11" s="70"/>
      <c r="E11" s="70"/>
      <c r="F11" s="55">
        <f>IF(B11="","",B11*C11)</f>
        <v>2</v>
      </c>
      <c r="G11" s="43">
        <f>IF(B11="","",B11*7)</f>
        <v>7</v>
      </c>
      <c r="H11" s="44">
        <f>IF($F$4="","",IF(VLOOKUP($F$4,BD_ORÇAMENTO!$A:$DZ,14,0)=0,"",VLOOKUP($F$4,BD_ORÇAMENTO!$A:$DZ,14,0)))</f>
        <v>3</v>
      </c>
      <c r="I11" s="48">
        <f>IF(H11="","",F11*50/H11)</f>
        <v>33.333333333333336</v>
      </c>
      <c r="J11" s="71">
        <f>IF(B11="","",B11*10)</f>
        <v>10</v>
      </c>
      <c r="K11" s="46">
        <f>IF($F$4="","",IF(VLOOKUP($F$4,BD_ORÇAMENTO!$A:$DZ,15,0)=0,"",VLOOKUP($F$4,BD_ORÇAMENTO!$A:$DZ,15,0)))</f>
      </c>
      <c r="L11" s="45">
        <f>IF(K11="","",F11*110/K11)</f>
      </c>
      <c r="M11" s="43">
        <f>IF(B11="","",B11*14)</f>
        <v>14</v>
      </c>
      <c r="N11" s="46">
        <f>IF($F$4="","",IF(VLOOKUP($F$4,BD_ORÇAMENTO!$A:$DZ,16,0)=0,"",VLOOKUP($F$4,BD_ORÇAMENTO!$A:$DZ,16,0)))</f>
        <v>5</v>
      </c>
      <c r="O11" s="45">
        <f>IF(N11="","",F11*196/N11)</f>
        <v>78.4</v>
      </c>
      <c r="P11" s="57">
        <f aca="true" t="shared" si="0" ref="P11:P30">IF(F11="","",F11*$P$9)</f>
        <v>40</v>
      </c>
      <c r="Q11" s="57">
        <f aca="true" t="shared" si="1" ref="Q11:Q30">IF(F11="","",F11*$Q$9)</f>
        <v>50</v>
      </c>
      <c r="R11" s="18">
        <f aca="true" t="shared" si="2" ref="R11:R30">IF(B11="","",((B11*2)+(C11*2))+1)</f>
        <v>7</v>
      </c>
      <c r="S11" s="10"/>
      <c r="T11" s="12"/>
      <c r="U11" s="12"/>
      <c r="V11" s="10"/>
    </row>
    <row r="12" spans="1:22" ht="12" customHeight="1">
      <c r="A12" s="19" t="str">
        <f>IF($F$4="","",IF(VLOOKUP($F$4,BD_ORÇAMENTO!$A:$DZ,17,0)="","",VLOOKUP($F$4,BD_ORÇAMENTO!$A:$DZ,17,0)))</f>
        <v>VARANDA</v>
      </c>
      <c r="B12" s="68">
        <f>IF($F$4="","",IF(VLOOKUP($F$4,BD_ORÇAMENTO!$A:$DZ,18,0)=0,"",VLOOKUP($F$4,BD_ORÇAMENTO!$A:$DZ,18,0)))</f>
        <v>6</v>
      </c>
      <c r="C12" s="69">
        <f>IF($F$4="","",IF(VLOOKUP($F$4,BD_ORÇAMENTO!$A:$DZ,19,0)=0,"",VLOOKUP($F$4,BD_ORÇAMENTO!$A:$DZ,19,0)))</f>
        <v>7</v>
      </c>
      <c r="D12" s="72"/>
      <c r="E12" s="72"/>
      <c r="F12" s="59">
        <f>IF(B12="","",B12*C12)</f>
        <v>42</v>
      </c>
      <c r="G12" s="47">
        <f aca="true" t="shared" si="3" ref="G12:G30">IF(B12="","",B12*7)</f>
        <v>42</v>
      </c>
      <c r="H12" s="44">
        <f>IF($F$4="","",IF(VLOOKUP($F$4,BD_ORÇAMENTO!$A:$DZ,20,0)=0,"",VLOOKUP($F$4,BD_ORÇAMENTO!$A:$DZ,20,0)))</f>
        <v>8</v>
      </c>
      <c r="I12" s="48">
        <f>IF(H12="","",F12*50/H12)</f>
        <v>262.5</v>
      </c>
      <c r="J12" s="73">
        <f aca="true" t="shared" si="4" ref="J12:J30">IF(B12="","",B12*10)</f>
        <v>60</v>
      </c>
      <c r="K12" s="46">
        <f>IF($F$4="","",IF(VLOOKUP($F$4,BD_ORÇAMENTO!$A:$DZ,21,0)=0,"",VLOOKUP($F$4,BD_ORÇAMENTO!$A:$DZ,21,0)))</f>
        <v>9</v>
      </c>
      <c r="L12" s="48">
        <f>IF(K12="","",F12*110/K12)</f>
        <v>513.3333333333334</v>
      </c>
      <c r="M12" s="47">
        <f aca="true" t="shared" si="5" ref="M12:M30">IF(B12="","",B12*14)</f>
        <v>84</v>
      </c>
      <c r="N12" s="46">
        <f>IF($F$4="","",IF(VLOOKUP($F$4,BD_ORÇAMENTO!$A:$DZ,22,0)=0,"",VLOOKUP($F$4,BD_ORÇAMENTO!$A:$DZ,22,0)))</f>
        <v>5</v>
      </c>
      <c r="O12" s="48">
        <f>IF(N12="","",F12*196/N12)</f>
        <v>1646.4</v>
      </c>
      <c r="P12" s="61">
        <f t="shared" si="0"/>
        <v>840</v>
      </c>
      <c r="Q12" s="61">
        <f t="shared" si="1"/>
        <v>1050</v>
      </c>
      <c r="R12" s="19">
        <f t="shared" si="2"/>
        <v>27</v>
      </c>
      <c r="S12" s="10"/>
      <c r="T12" s="10"/>
      <c r="U12" s="10"/>
      <c r="V12" s="10"/>
    </row>
    <row r="13" spans="1:22" ht="12" customHeight="1">
      <c r="A13" s="19" t="str">
        <f>IF($F$4="","",IF(VLOOKUP($F$4,BD_ORÇAMENTO!$A:$DZ,23,0)="","",VLOOKUP($F$4,BD_ORÇAMENTO!$A:$DZ,23,0)))</f>
        <v>COZINHA</v>
      </c>
      <c r="B13" s="68">
        <f>IF($F$4="","",IF(VLOOKUP($F$4,BD_ORÇAMENTO!$A:$DZ,24,0)=0,"",VLOOKUP($F$4,BD_ORÇAMENTO!$A:$DZ,24,0)))</f>
        <v>11</v>
      </c>
      <c r="C13" s="69">
        <f>IF($F$4="","",IF(VLOOKUP($F$4,BD_ORÇAMENTO!$A:$DZ,25,0)=0,"",VLOOKUP($F$4,BD_ORÇAMENTO!$A:$DZ,25,0)))</f>
        <v>12</v>
      </c>
      <c r="D13" s="72"/>
      <c r="E13" s="72"/>
      <c r="F13" s="59">
        <f aca="true" t="shared" si="6" ref="F13:F30">IF(B13="","",B13*C13)</f>
        <v>132</v>
      </c>
      <c r="G13" s="47">
        <f t="shared" si="3"/>
        <v>77</v>
      </c>
      <c r="H13" s="44">
        <f>IF($F$4="","",IF(VLOOKUP($F$4,BD_ORÇAMENTO!$A:$DZ,26,0)=0,"",VLOOKUP($F$4,BD_ORÇAMENTO!$A:$DZ,26,0)))</f>
        <v>13</v>
      </c>
      <c r="I13" s="48">
        <f>IF(H13="","",F13*50/H13)</f>
        <v>507.6923076923077</v>
      </c>
      <c r="J13" s="73">
        <f t="shared" si="4"/>
        <v>110</v>
      </c>
      <c r="K13" s="46">
        <f>IF($F$4="","",IF(VLOOKUP($F$4,BD_ORÇAMENTO!$A:$DZ,27,0)=0,"",VLOOKUP($F$4,BD_ORÇAMENTO!$A:$DZ,27,0)))</f>
        <v>14</v>
      </c>
      <c r="L13" s="48">
        <f>IF(K13="","",F13*110/K13)</f>
        <v>1037.142857142857</v>
      </c>
      <c r="M13" s="47">
        <f t="shared" si="5"/>
        <v>154</v>
      </c>
      <c r="N13" s="46">
        <f>IF($F$4="","",IF(VLOOKUP($F$4,BD_ORÇAMENTO!$A:$DZ,28,0)=0,"",VLOOKUP($F$4,BD_ORÇAMENTO!$A:$DZ,28,0)))</f>
        <v>15</v>
      </c>
      <c r="O13" s="48">
        <f>IF(N13="","",F13*196/N13)</f>
        <v>1724.8</v>
      </c>
      <c r="P13" s="61">
        <f t="shared" si="0"/>
        <v>2640</v>
      </c>
      <c r="Q13" s="61">
        <f t="shared" si="1"/>
        <v>3300</v>
      </c>
      <c r="R13" s="19">
        <f t="shared" si="2"/>
        <v>47</v>
      </c>
      <c r="S13" s="10"/>
      <c r="T13" s="10"/>
      <c r="U13" s="10"/>
      <c r="V13" s="10"/>
    </row>
    <row r="14" spans="1:22" ht="12" customHeight="1">
      <c r="A14" s="19" t="str">
        <f>IF($F$4="","",IF(VLOOKUP($F$4,BD_ORÇAMENTO!$A:$DZ,29,0)="","",VLOOKUP($F$4,BD_ORÇAMENTO!$A:$DZ,29,0)))</f>
        <v>HAAL</v>
      </c>
      <c r="B14" s="68">
        <f>IF($F$4="","",IF(VLOOKUP($F$4,BD_ORÇAMENTO!$A:$DZ,30,0)=0,"",VLOOKUP($F$4,BD_ORÇAMENTO!$A:$DZ,30,0)))</f>
        <v>16</v>
      </c>
      <c r="C14" s="69">
        <f>IF($F$4="","",IF(VLOOKUP($F$4,BD_ORÇAMENTO!$A:$DZ,31,0)=0,"",VLOOKUP($F$4,BD_ORÇAMENTO!$A:$DZ,31,0)))</f>
        <v>17</v>
      </c>
      <c r="D14" s="72"/>
      <c r="E14" s="72"/>
      <c r="F14" s="59">
        <f t="shared" si="6"/>
        <v>272</v>
      </c>
      <c r="G14" s="47">
        <f t="shared" si="3"/>
        <v>112</v>
      </c>
      <c r="H14" s="44">
        <f>IF($F$4="","",IF(VLOOKUP($F$4,BD_ORÇAMENTO!$A:$DZ,32,0)=0,"",VLOOKUP($F$4,BD_ORÇAMENTO!$A:$DZ,32,0)))</f>
        <v>18</v>
      </c>
      <c r="I14" s="48">
        <f aca="true" t="shared" si="7" ref="I14:I30">IF(H14="","",F14*50/H14)</f>
        <v>755.5555555555555</v>
      </c>
      <c r="J14" s="73">
        <f t="shared" si="4"/>
        <v>160</v>
      </c>
      <c r="K14" s="46">
        <f>IF($F$4="","",IF(VLOOKUP($F$4,BD_ORÇAMENTO!$A:$DZ,33,0)=0,"",VLOOKUP($F$4,BD_ORÇAMENTO!$A:$DZ,33,0)))</f>
        <v>19</v>
      </c>
      <c r="L14" s="48">
        <f aca="true" t="shared" si="8" ref="L14:L30">IF(K14="","",F14*110/K14)</f>
        <v>1574.7368421052631</v>
      </c>
      <c r="M14" s="47">
        <f t="shared" si="5"/>
        <v>224</v>
      </c>
      <c r="N14" s="46">
        <f>IF($F$4="","",IF(VLOOKUP($F$4,BD_ORÇAMENTO!$A:$DZ,34,0)=0,"",VLOOKUP($F$4,BD_ORÇAMENTO!$A:$DZ,34,0)))</f>
        <v>20</v>
      </c>
      <c r="O14" s="48">
        <f>IF(N14="","",F14*196/N14)</f>
        <v>2665.6</v>
      </c>
      <c r="P14" s="61">
        <f t="shared" si="0"/>
        <v>5440</v>
      </c>
      <c r="Q14" s="61">
        <f t="shared" si="1"/>
        <v>6800</v>
      </c>
      <c r="R14" s="19">
        <f t="shared" si="2"/>
        <v>67</v>
      </c>
      <c r="S14" s="10"/>
      <c r="T14" s="10"/>
      <c r="U14" s="10"/>
      <c r="V14" s="10"/>
    </row>
    <row r="15" spans="1:22" ht="12" customHeight="1">
      <c r="A15" s="19" t="str">
        <f>IF($F$4="","",IF(VLOOKUP($F$4,BD_ORÇAMENTO!$A:$DZ,35,0)="","",VLOOKUP($F$4,BD_ORÇAMENTO!$A:$DZ,35,0)))</f>
        <v>DEPENDE</v>
      </c>
      <c r="B15" s="68">
        <f>IF($F$4="","",IF(VLOOKUP($F$4,BD_ORÇAMENTO!$A:$DZ,36,0)=0,"",VLOOKUP($F$4,BD_ORÇAMENTO!$A:$DZ,36,0)))</f>
        <v>1</v>
      </c>
      <c r="C15" s="69">
        <f>IF($F$4="","",IF(VLOOKUP($F$4,BD_ORÇAMENTO!$A:$DZ,37,0)=0,"",VLOOKUP($F$4,BD_ORÇAMENTO!$A:$DZ,37,0)))</f>
        <v>2</v>
      </c>
      <c r="D15" s="72"/>
      <c r="E15" s="72"/>
      <c r="F15" s="59">
        <f t="shared" si="6"/>
        <v>2</v>
      </c>
      <c r="G15" s="47">
        <f t="shared" si="3"/>
        <v>7</v>
      </c>
      <c r="H15" s="44">
        <f>IF($F$4="","",IF(VLOOKUP($F$4,BD_ORÇAMENTO!$A:$DZ,38,0)=0,"",VLOOKUP($F$4,BD_ORÇAMENTO!$A:$DZ,38,0)))</f>
        <v>3</v>
      </c>
      <c r="I15" s="48">
        <f t="shared" si="7"/>
        <v>33.333333333333336</v>
      </c>
      <c r="J15" s="73">
        <f t="shared" si="4"/>
        <v>10</v>
      </c>
      <c r="K15" s="46">
        <f>IF($F$4="","",IF(VLOOKUP($F$4,BD_ORÇAMENTO!$A:$DZ,39,0)=0,"",VLOOKUP($F$4,BD_ORÇAMENTO!$A:$DZ,39,0)))</f>
        <v>4</v>
      </c>
      <c r="L15" s="48">
        <f t="shared" si="8"/>
        <v>55</v>
      </c>
      <c r="M15" s="47">
        <f t="shared" si="5"/>
        <v>14</v>
      </c>
      <c r="N15" s="46">
        <f>IF($F$4="","",IF(VLOOKUP($F$4,BD_ORÇAMENTO!$A:$DZ,40,0)=0,"",VLOOKUP($F$4,BD_ORÇAMENTO!$A:$DZ,40,0)))</f>
        <v>5</v>
      </c>
      <c r="O15" s="48">
        <f aca="true" t="shared" si="9" ref="O15:O30">IF(N15="","",F15*196/N15)</f>
        <v>78.4</v>
      </c>
      <c r="P15" s="61">
        <f t="shared" si="0"/>
        <v>40</v>
      </c>
      <c r="Q15" s="61">
        <f t="shared" si="1"/>
        <v>50</v>
      </c>
      <c r="R15" s="19">
        <f t="shared" si="2"/>
        <v>7</v>
      </c>
      <c r="S15" s="10"/>
      <c r="T15" s="10"/>
      <c r="U15" s="10"/>
      <c r="V15" s="10"/>
    </row>
    <row r="16" spans="1:22" ht="12" customHeight="1">
      <c r="A16" s="19" t="str">
        <f>IF($F$4="","",IF(VLOOKUP($F$4,BD_ORÇAMENTO!$A:$DZ,41,0)="","",VLOOKUP($F$4,BD_ORÇAMENTO!$A:$DZ,41,0)))</f>
        <v>HAAL</v>
      </c>
      <c r="B16" s="68">
        <f>IF($F$4="","",IF(VLOOKUP($F$4,BD_ORÇAMENTO!$A:$DZ,42,0)=0,"",VLOOKUP($F$4,BD_ORÇAMENTO!$A:$DZ,42,0)))</f>
        <v>6</v>
      </c>
      <c r="C16" s="69">
        <f>IF($F$4="","",IF(VLOOKUP($F$4,BD_ORÇAMENTO!$A:$DZ,43,0)=0,"",VLOOKUP($F$4,BD_ORÇAMENTO!$A:$DZ,43,0)))</f>
        <v>7</v>
      </c>
      <c r="D16" s="72"/>
      <c r="E16" s="72"/>
      <c r="F16" s="59">
        <f t="shared" si="6"/>
        <v>42</v>
      </c>
      <c r="G16" s="47">
        <f t="shared" si="3"/>
        <v>42</v>
      </c>
      <c r="H16" s="44">
        <f>IF($F$4="","",IF(VLOOKUP($F$4,BD_ORÇAMENTO!$A:$DZ,44,0)=0,"",VLOOKUP($F$4,BD_ORÇAMENTO!$A:$DZ,44,0)))</f>
        <v>8</v>
      </c>
      <c r="I16" s="48">
        <f t="shared" si="7"/>
        <v>262.5</v>
      </c>
      <c r="J16" s="73">
        <f t="shared" si="4"/>
        <v>60</v>
      </c>
      <c r="K16" s="46">
        <f>IF($F$4="","",IF(VLOOKUP($F$4,BD_ORÇAMENTO!$A:$DZ,45,0)=0,"",VLOOKUP($F$4,BD_ORÇAMENTO!$A:$DZ,45,0)))</f>
        <v>9</v>
      </c>
      <c r="L16" s="48">
        <f t="shared" si="8"/>
        <v>513.3333333333334</v>
      </c>
      <c r="M16" s="47">
        <f t="shared" si="5"/>
        <v>84</v>
      </c>
      <c r="N16" s="46">
        <f>IF($F$4="","",IF(VLOOKUP($F$4,BD_ORÇAMENTO!$A:$DZ,46,0)=0,"",VLOOKUP($F$4,BD_ORÇAMENTO!$A:$DZ,46,0)))</f>
        <v>10</v>
      </c>
      <c r="O16" s="48">
        <f t="shared" si="9"/>
        <v>823.2</v>
      </c>
      <c r="P16" s="61">
        <f t="shared" si="0"/>
        <v>840</v>
      </c>
      <c r="Q16" s="61">
        <f t="shared" si="1"/>
        <v>1050</v>
      </c>
      <c r="R16" s="19">
        <f t="shared" si="2"/>
        <v>27</v>
      </c>
      <c r="S16" s="10"/>
      <c r="T16" s="12"/>
      <c r="U16" s="10"/>
      <c r="V16" s="10"/>
    </row>
    <row r="17" spans="1:22" ht="12" customHeight="1">
      <c r="A17" s="19" t="str">
        <f>IF($F$4="","",IF(VLOOKUP($F$4,BD_ORÇAMENTO!$A:$DZ,47,0)="","",VLOOKUP($F$4,BD_ORÇAMENTO!$A:$DZ,47,0)))</f>
        <v>DEPENDE</v>
      </c>
      <c r="B17" s="68">
        <f>IF($F$4="","",IF(VLOOKUP($F$4,BD_ORÇAMENTO!$A:$DZ,48,0)=0,"",VLOOKUP($F$4,BD_ORÇAMENTO!$A:$DZ,48,0)))</f>
        <v>1</v>
      </c>
      <c r="C17" s="69">
        <f>IF($F$4="","",IF(VLOOKUP($F$4,BD_ORÇAMENTO!$A:$DZ,49,0)=0,"",VLOOKUP($F$4,BD_ORÇAMENTO!$A:$DZ,49,0)))</f>
        <v>2</v>
      </c>
      <c r="D17" s="72"/>
      <c r="E17" s="72"/>
      <c r="F17" s="59">
        <f t="shared" si="6"/>
        <v>2</v>
      </c>
      <c r="G17" s="47">
        <f t="shared" si="3"/>
        <v>7</v>
      </c>
      <c r="H17" s="44">
        <f>IF($F$4="","",IF(VLOOKUP($F$4,BD_ORÇAMENTO!$A:$DZ,50,0)=0,"",VLOOKUP($F$4,BD_ORÇAMENTO!$A:$DZ,50,0)))</f>
        <v>3</v>
      </c>
      <c r="I17" s="48">
        <f t="shared" si="7"/>
        <v>33.333333333333336</v>
      </c>
      <c r="J17" s="73">
        <f t="shared" si="4"/>
        <v>10</v>
      </c>
      <c r="K17" s="46">
        <f>IF($F$4="","",IF(VLOOKUP($F$4,BD_ORÇAMENTO!$A:$DZ,51,0)=0,"",VLOOKUP($F$4,BD_ORÇAMENTO!$A:$DZ,51,0)))</f>
        <v>4</v>
      </c>
      <c r="L17" s="48">
        <f t="shared" si="8"/>
        <v>55</v>
      </c>
      <c r="M17" s="47">
        <f t="shared" si="5"/>
        <v>14</v>
      </c>
      <c r="N17" s="46">
        <f>IF($F$4="","",IF(VLOOKUP($F$4,BD_ORÇAMENTO!$A:$DZ,52,0)=0,"",VLOOKUP($F$4,BD_ORÇAMENTO!$A:$DZ,52,0)))</f>
        <v>5</v>
      </c>
      <c r="O17" s="48">
        <f t="shared" si="9"/>
        <v>78.4</v>
      </c>
      <c r="P17" s="61">
        <f t="shared" si="0"/>
        <v>40</v>
      </c>
      <c r="Q17" s="61">
        <f t="shared" si="1"/>
        <v>50</v>
      </c>
      <c r="R17" s="19">
        <f t="shared" si="2"/>
        <v>7</v>
      </c>
      <c r="S17" s="10"/>
      <c r="T17" s="10"/>
      <c r="U17" s="10"/>
      <c r="V17" s="10"/>
    </row>
    <row r="18" spans="1:22" ht="12" customHeight="1">
      <c r="A18" s="19" t="str">
        <f>IF($F$4="","",IF(VLOOKUP($F$4,BD_ORÇAMENTO!$A:$DZ,53,0)="","",VLOOKUP($F$4,BD_ORÇAMENTO!$A:$DZ,53,0)))</f>
        <v>VARANDA</v>
      </c>
      <c r="B18" s="68">
        <f>IF($F$4="","",IF(VLOOKUP($F$4,BD_ORÇAMENTO!$A:$DZ,54,0)=0,"",VLOOKUP($F$4,BD_ORÇAMENTO!$A:$DZ,54,0)))</f>
        <v>1</v>
      </c>
      <c r="C18" s="69">
        <f>IF($F$4="","",IF(VLOOKUP($F$4,BD_ORÇAMENTO!$A:$DZ,55,0)=0,"",VLOOKUP($F$4,BD_ORÇAMENTO!$A:$DZ,55,0)))</f>
        <v>2</v>
      </c>
      <c r="D18" s="72"/>
      <c r="E18" s="72"/>
      <c r="F18" s="59">
        <f t="shared" si="6"/>
        <v>2</v>
      </c>
      <c r="G18" s="47">
        <f t="shared" si="3"/>
        <v>7</v>
      </c>
      <c r="H18" s="44">
        <f>IF($F$4="","",IF(VLOOKUP($F$4,BD_ORÇAMENTO!$A:$DZ,56,0)=0,"",VLOOKUP($F$4,BD_ORÇAMENTO!$A:$DZ,56,0)))</f>
        <v>3</v>
      </c>
      <c r="I18" s="48">
        <f t="shared" si="7"/>
        <v>33.333333333333336</v>
      </c>
      <c r="J18" s="73">
        <f t="shared" si="4"/>
        <v>10</v>
      </c>
      <c r="K18" s="46">
        <f>IF($F$4="","",IF(VLOOKUP($F$4,BD_ORÇAMENTO!$A:$DZ,57,0)=0,"",VLOOKUP($F$4,BD_ORÇAMENTO!$A:$DZ,57,0)))</f>
        <v>4</v>
      </c>
      <c r="L18" s="48">
        <f t="shared" si="8"/>
        <v>55</v>
      </c>
      <c r="M18" s="47">
        <f t="shared" si="5"/>
        <v>14</v>
      </c>
      <c r="N18" s="46">
        <f>IF($F$4="","",IF(VLOOKUP($F$4,BD_ORÇAMENTO!$A:$DZ,58,0)=0,"",VLOOKUP($F$4,BD_ORÇAMENTO!$A:$DZ,58,0)))</f>
        <v>5</v>
      </c>
      <c r="O18" s="48">
        <f t="shared" si="9"/>
        <v>78.4</v>
      </c>
      <c r="P18" s="61">
        <f t="shared" si="0"/>
        <v>40</v>
      </c>
      <c r="Q18" s="61">
        <f t="shared" si="1"/>
        <v>50</v>
      </c>
      <c r="R18" s="19">
        <f t="shared" si="2"/>
        <v>7</v>
      </c>
      <c r="S18" s="10"/>
      <c r="T18" s="10"/>
      <c r="U18" s="10"/>
      <c r="V18" s="10"/>
    </row>
    <row r="19" spans="1:22" ht="12" customHeight="1">
      <c r="A19" s="19">
        <f>IF($F$4="","",IF(VLOOKUP($F$4,BD_ORÇAMENTO!$A:$DZ,59,0)="","",VLOOKUP($F$4,BD_ORÇAMENTO!$A:$DZ,59,0)))</f>
      </c>
      <c r="B19" s="68">
        <f>IF($F$4="","",IF(VLOOKUP($F$4,BD_ORÇAMENTO!$A:$DZ,60,0)=0,"",VLOOKUP($F$4,BD_ORÇAMENTO!$A:$DZ,60,0)))</f>
      </c>
      <c r="C19" s="69">
        <f>IF($F$4="","",IF(VLOOKUP($F$4,BD_ORÇAMENTO!$A:$DZ,61,0)=0,"",VLOOKUP($F$4,BD_ORÇAMENTO!$A:$DZ,61,0)))</f>
      </c>
      <c r="D19" s="72"/>
      <c r="E19" s="72"/>
      <c r="F19" s="59">
        <f t="shared" si="6"/>
      </c>
      <c r="G19" s="47">
        <f t="shared" si="3"/>
      </c>
      <c r="H19" s="44">
        <f>IF($F$4="","",IF(VLOOKUP($F$4,BD_ORÇAMENTO!$A:$DZ,62,0)=0,"",VLOOKUP($F$4,BD_ORÇAMENTO!$A:$DZ,62,0)))</f>
      </c>
      <c r="I19" s="48">
        <f t="shared" si="7"/>
      </c>
      <c r="J19" s="73">
        <f t="shared" si="4"/>
      </c>
      <c r="K19" s="46">
        <f>IF($F$4="","",IF(VLOOKUP($F$4,BD_ORÇAMENTO!$A:$DZ,63,0)=0,"",VLOOKUP($F$4,BD_ORÇAMENTO!$A:$DZ,63,0)))</f>
      </c>
      <c r="L19" s="48">
        <f t="shared" si="8"/>
      </c>
      <c r="M19" s="47">
        <f t="shared" si="5"/>
      </c>
      <c r="N19" s="46">
        <f>IF($F$4="","",IF(VLOOKUP($F$4,BD_ORÇAMENTO!$A:$DZ,64,0)=0,"",VLOOKUP($F$4,BD_ORÇAMENTO!$A:$DZ,64,0)))</f>
      </c>
      <c r="O19" s="48">
        <f t="shared" si="9"/>
      </c>
      <c r="P19" s="61">
        <f t="shared" si="0"/>
      </c>
      <c r="Q19" s="61">
        <f t="shared" si="1"/>
      </c>
      <c r="R19" s="19">
        <f t="shared" si="2"/>
      </c>
      <c r="S19" s="10"/>
      <c r="T19" s="10"/>
      <c r="U19" s="10"/>
      <c r="V19" s="10"/>
    </row>
    <row r="20" spans="1:22" ht="12" customHeight="1">
      <c r="A20" s="19">
        <f>IF($F$4="","",IF(VLOOKUP($F$4,BD_ORÇAMENTO!$A:$DZ,65,0)="","",VLOOKUP($F$4,BD_ORÇAMENTO!$A:$DZ,65,0)))</f>
      </c>
      <c r="B20" s="68">
        <f>IF($F$4="","",IF(VLOOKUP($F$4,BD_ORÇAMENTO!$A:$DZ,66,0)=0,"",VLOOKUP($F$4,BD_ORÇAMENTO!$A:$DZ,66,0)))</f>
      </c>
      <c r="C20" s="69">
        <f>IF($F$4="","",IF(VLOOKUP($F$4,BD_ORÇAMENTO!$A:$DZ,67,0)=0,"",VLOOKUP($F$4,BD_ORÇAMENTO!$A:$DZ,67,0)))</f>
      </c>
      <c r="D20" s="72"/>
      <c r="E20" s="72"/>
      <c r="F20" s="59">
        <f t="shared" si="6"/>
      </c>
      <c r="G20" s="47">
        <f t="shared" si="3"/>
      </c>
      <c r="H20" s="44">
        <f>IF($F$4="","",IF(VLOOKUP($F$4,BD_ORÇAMENTO!$A:$DZ,68,0)=0,"",VLOOKUP($F$4,BD_ORÇAMENTO!$A:$DZ,68,0)))</f>
      </c>
      <c r="I20" s="48">
        <f t="shared" si="7"/>
      </c>
      <c r="J20" s="73">
        <f t="shared" si="4"/>
      </c>
      <c r="K20" s="46">
        <f>IF($F$4="","",IF(VLOOKUP($F$4,BD_ORÇAMENTO!$A:$DZ,69,0)=0,"",VLOOKUP($F$4,BD_ORÇAMENTO!$A:$DZ,69,0)))</f>
      </c>
      <c r="L20" s="48">
        <f t="shared" si="8"/>
      </c>
      <c r="M20" s="47">
        <f t="shared" si="5"/>
      </c>
      <c r="N20" s="46">
        <f>IF($F$4="","",IF(VLOOKUP($F$4,BD_ORÇAMENTO!$A:$DZ,70,0)=0,"",VLOOKUP($F$4,BD_ORÇAMENTO!$A:$DZ,70,0)))</f>
      </c>
      <c r="O20" s="48">
        <f t="shared" si="9"/>
      </c>
      <c r="P20" s="61">
        <f t="shared" si="0"/>
      </c>
      <c r="Q20" s="61">
        <f t="shared" si="1"/>
      </c>
      <c r="R20" s="19">
        <f t="shared" si="2"/>
      </c>
      <c r="S20" s="12"/>
      <c r="T20" s="10"/>
      <c r="U20" s="10"/>
      <c r="V20" s="10"/>
    </row>
    <row r="21" spans="1:22" ht="12" customHeight="1">
      <c r="A21" s="19">
        <f>IF($F$4="","",IF(VLOOKUP($F$4,BD_ORÇAMENTO!$A:$DZ,71,0)="","",VLOOKUP($F$4,BD_ORÇAMENTO!$A:$DZ,71,0)))</f>
      </c>
      <c r="B21" s="68">
        <f>IF($F$4="","",IF(VLOOKUP($F$4,BD_ORÇAMENTO!$A:$DZ,72,0)=0,"",VLOOKUP($F$4,BD_ORÇAMENTO!$A:$DZ,72,0)))</f>
      </c>
      <c r="C21" s="69">
        <f>IF($F$4="","",IF(VLOOKUP($F$4,BD_ORÇAMENTO!$A:$DZ,73,0)=0,"",VLOOKUP($F$4,BD_ORÇAMENTO!$A:$DZ,73,0)))</f>
      </c>
      <c r="D21" s="72"/>
      <c r="E21" s="72"/>
      <c r="F21" s="59">
        <f t="shared" si="6"/>
      </c>
      <c r="G21" s="47">
        <f t="shared" si="3"/>
      </c>
      <c r="H21" s="44">
        <f>IF($F$4="","",IF(VLOOKUP($F$4,BD_ORÇAMENTO!$A:$DZ,74,0)=0,"",VLOOKUP($F$4,BD_ORÇAMENTO!$A:$DZ,74,0)))</f>
      </c>
      <c r="I21" s="48">
        <f t="shared" si="7"/>
      </c>
      <c r="J21" s="73">
        <f t="shared" si="4"/>
      </c>
      <c r="K21" s="46">
        <f>IF($F$4="","",IF(VLOOKUP($F$4,BD_ORÇAMENTO!$A:$DZ,75,0)=0,"",VLOOKUP($F$4,BD_ORÇAMENTO!$A:$DZ,75,0)))</f>
      </c>
      <c r="L21" s="48">
        <f t="shared" si="8"/>
      </c>
      <c r="M21" s="47">
        <f t="shared" si="5"/>
      </c>
      <c r="N21" s="46">
        <f>IF($F$4="","",IF(VLOOKUP($F$4,BD_ORÇAMENTO!$A:$DZ,76,0)=0,"",VLOOKUP($F$4,BD_ORÇAMENTO!$A:$DZ,76,0)))</f>
      </c>
      <c r="O21" s="48">
        <f t="shared" si="9"/>
      </c>
      <c r="P21" s="61">
        <f t="shared" si="0"/>
      </c>
      <c r="Q21" s="61">
        <f t="shared" si="1"/>
      </c>
      <c r="R21" s="19">
        <f t="shared" si="2"/>
      </c>
      <c r="S21" s="12"/>
      <c r="T21" s="10"/>
      <c r="U21" s="10"/>
      <c r="V21" s="10"/>
    </row>
    <row r="22" spans="1:22" ht="12" customHeight="1">
      <c r="A22" s="19">
        <f>IF($F$4="","",IF(VLOOKUP($F$4,BD_ORÇAMENTO!$A:$DZ,77,0)="","",VLOOKUP($F$4,BD_ORÇAMENTO!$A:$DZ,77,0)))</f>
      </c>
      <c r="B22" s="68">
        <f>IF($F$4="","",IF(VLOOKUP($F$4,BD_ORÇAMENTO!$A:$DZ,78,0)=0,"",VLOOKUP($F$4,BD_ORÇAMENTO!$A:$DZ,78,0)))</f>
      </c>
      <c r="C22" s="69">
        <f>IF($F$4="","",IF(VLOOKUP($F$4,BD_ORÇAMENTO!$A:$DZ,79,0)=0,"",VLOOKUP($F$4,BD_ORÇAMENTO!$A:$DZ,79,0)))</f>
      </c>
      <c r="D22" s="72"/>
      <c r="E22" s="72"/>
      <c r="F22" s="59">
        <f t="shared" si="6"/>
      </c>
      <c r="G22" s="47">
        <f t="shared" si="3"/>
      </c>
      <c r="H22" s="44">
        <f>IF($F$4="","",IF(VLOOKUP($F$4,BD_ORÇAMENTO!$A:$DZ,80,0)=0,"",VLOOKUP($F$4,BD_ORÇAMENTO!$A:$DZ,80,0)))</f>
      </c>
      <c r="I22" s="48">
        <f t="shared" si="7"/>
      </c>
      <c r="J22" s="73">
        <f t="shared" si="4"/>
      </c>
      <c r="K22" s="46">
        <f>IF($F$4="","",IF(VLOOKUP($F$4,BD_ORÇAMENTO!$A:$DZ,81,0)=0,"",VLOOKUP($F$4,BD_ORÇAMENTO!$A:$DZ,81,0)))</f>
      </c>
      <c r="L22" s="48">
        <f t="shared" si="8"/>
      </c>
      <c r="M22" s="47">
        <f t="shared" si="5"/>
      </c>
      <c r="N22" s="46">
        <f>IF($F$4="","",IF(VLOOKUP($F$4,BD_ORÇAMENTO!$A:$DZ,82,0)=0,"",VLOOKUP($F$4,BD_ORÇAMENTO!$A:$DZ,82,0)))</f>
      </c>
      <c r="O22" s="48">
        <f t="shared" si="9"/>
      </c>
      <c r="P22" s="61">
        <f t="shared" si="0"/>
      </c>
      <c r="Q22" s="61">
        <f t="shared" si="1"/>
      </c>
      <c r="R22" s="19">
        <f t="shared" si="2"/>
      </c>
      <c r="S22" s="12"/>
      <c r="T22" s="10"/>
      <c r="U22" s="10"/>
      <c r="V22" s="10"/>
    </row>
    <row r="23" spans="1:22" ht="12" customHeight="1">
      <c r="A23" s="19">
        <f>IF($F$4="","",IF(VLOOKUP($F$4,BD_ORÇAMENTO!$A:$DZ,83,0)="","",VLOOKUP($F$4,BD_ORÇAMENTO!$A:$DZ,83,0)))</f>
      </c>
      <c r="B23" s="68">
        <f>IF($F$4="","",IF(VLOOKUP($F$4,BD_ORÇAMENTO!$A:$DZ,84,0)=0,"",VLOOKUP($F$4,BD_ORÇAMENTO!$A:$DZ,84,0)))</f>
      </c>
      <c r="C23" s="69">
        <f>IF($F$4="","",IF(VLOOKUP($F$4,BD_ORÇAMENTO!$A:$DZ,85,0)=0,"",VLOOKUP($F$4,BD_ORÇAMENTO!$A:$DZ,85,0)))</f>
      </c>
      <c r="D23" s="72"/>
      <c r="E23" s="72"/>
      <c r="F23" s="59">
        <f t="shared" si="6"/>
      </c>
      <c r="G23" s="47">
        <f t="shared" si="3"/>
      </c>
      <c r="H23" s="44">
        <f>IF($F$4="","",IF(VLOOKUP($F$4,BD_ORÇAMENTO!$A:$DZ,86,0)=0,"",VLOOKUP($F$4,BD_ORÇAMENTO!$A:$DZ,86,0)))</f>
      </c>
      <c r="I23" s="48">
        <f t="shared" si="7"/>
      </c>
      <c r="J23" s="73">
        <f t="shared" si="4"/>
      </c>
      <c r="K23" s="46">
        <f>IF($F$4="","",IF(VLOOKUP($F$4,BD_ORÇAMENTO!$A:$DZ,87,0)=0,"",VLOOKUP($F$4,BD_ORÇAMENTO!$A:$DZ,87,0)))</f>
      </c>
      <c r="L23" s="48">
        <f t="shared" si="8"/>
      </c>
      <c r="M23" s="47">
        <f t="shared" si="5"/>
      </c>
      <c r="N23" s="46">
        <f>IF($F$4="","",IF(VLOOKUP($F$4,BD_ORÇAMENTO!$A:$DZ,88,0)=0,"",VLOOKUP($F$4,BD_ORÇAMENTO!$A:$DZ,88,0)))</f>
      </c>
      <c r="O23" s="48">
        <f t="shared" si="9"/>
      </c>
      <c r="P23" s="61">
        <f t="shared" si="0"/>
      </c>
      <c r="Q23" s="61">
        <f t="shared" si="1"/>
      </c>
      <c r="R23" s="19">
        <f t="shared" si="2"/>
      </c>
      <c r="S23" s="12"/>
      <c r="T23" s="10"/>
      <c r="U23" s="10"/>
      <c r="V23" s="10"/>
    </row>
    <row r="24" spans="1:22" ht="12" customHeight="1">
      <c r="A24" s="19">
        <f>IF($F$4="","",IF(VLOOKUP($F$4,BD_ORÇAMENTO!$A:$DZ,89,0)="","",VLOOKUP($F$4,BD_ORÇAMENTO!$A:$DZ,89,0)))</f>
      </c>
      <c r="B24" s="68">
        <f>IF($F$4="","",IF(VLOOKUP($F$4,BD_ORÇAMENTO!$A:$DZ,90,0)=0,"",VLOOKUP($F$4,BD_ORÇAMENTO!$A:$DZ,90,0)))</f>
      </c>
      <c r="C24" s="69">
        <f>IF($F$4="","",IF(VLOOKUP($F$4,BD_ORÇAMENTO!$A:$DZ,91,0)=0,"",VLOOKUP($F$4,BD_ORÇAMENTO!$A:$DZ,91,0)))</f>
      </c>
      <c r="D24" s="72"/>
      <c r="E24" s="72"/>
      <c r="F24" s="59">
        <f t="shared" si="6"/>
      </c>
      <c r="G24" s="47">
        <f t="shared" si="3"/>
      </c>
      <c r="H24" s="44">
        <f>IF($F$4="","",IF(VLOOKUP($F$4,BD_ORÇAMENTO!$A:$DZ,92,0)=0,"",VLOOKUP($F$4,BD_ORÇAMENTO!$A:$DZ,92,0)))</f>
      </c>
      <c r="I24" s="48">
        <f t="shared" si="7"/>
      </c>
      <c r="J24" s="73">
        <f t="shared" si="4"/>
      </c>
      <c r="K24" s="46">
        <f>IF($F$4="","",IF(VLOOKUP($F$4,BD_ORÇAMENTO!$A:$DZ,93,0)=0,"",VLOOKUP($F$4,BD_ORÇAMENTO!$A:$DZ,93,0)))</f>
      </c>
      <c r="L24" s="48">
        <f t="shared" si="8"/>
      </c>
      <c r="M24" s="47">
        <f t="shared" si="5"/>
      </c>
      <c r="N24" s="46">
        <f>IF($F$4="","",IF(VLOOKUP($F$4,BD_ORÇAMENTO!$A:$DZ,94,0)=0,"",VLOOKUP($F$4,BD_ORÇAMENTO!$A:$DZ,94,0)))</f>
      </c>
      <c r="O24" s="48">
        <f t="shared" si="9"/>
      </c>
      <c r="P24" s="61">
        <f t="shared" si="0"/>
      </c>
      <c r="Q24" s="61">
        <f t="shared" si="1"/>
      </c>
      <c r="R24" s="19">
        <f t="shared" si="2"/>
      </c>
      <c r="S24" s="12"/>
      <c r="T24" s="10"/>
      <c r="U24" s="10"/>
      <c r="V24" s="10"/>
    </row>
    <row r="25" spans="1:22" ht="12" customHeight="1">
      <c r="A25" s="19">
        <f>IF($F$4="","",IF(VLOOKUP($F$4,BD_ORÇAMENTO!$A:$DZ,95,0)="","",VLOOKUP($F$4,BD_ORÇAMENTO!$A:$DZ,95,0)))</f>
      </c>
      <c r="B25" s="68">
        <f>IF($F$4="","",IF(VLOOKUP($F$4,BD_ORÇAMENTO!$A:$DZ,96,0)=0,"",VLOOKUP($F$4,BD_ORÇAMENTO!$A:$DZ,96,0)))</f>
      </c>
      <c r="C25" s="69">
        <f>IF($F$4="","",IF(VLOOKUP($F$4,BD_ORÇAMENTO!$A:$DZ,97,0)=0,"",VLOOKUP($F$4,BD_ORÇAMENTO!$A:$DZ,97,0)))</f>
      </c>
      <c r="D25" s="72"/>
      <c r="E25" s="72"/>
      <c r="F25" s="59">
        <f t="shared" si="6"/>
      </c>
      <c r="G25" s="47">
        <f t="shared" si="3"/>
      </c>
      <c r="H25" s="44">
        <f>IF($F$4="","",IF(VLOOKUP($F$4,BD_ORÇAMENTO!$A:$DZ,98,0)=0,"",VLOOKUP($F$4,BD_ORÇAMENTO!$A:$DZ,98,0)))</f>
      </c>
      <c r="I25" s="48">
        <f t="shared" si="7"/>
      </c>
      <c r="J25" s="73">
        <f t="shared" si="4"/>
      </c>
      <c r="K25" s="46">
        <f>IF($F$4="","",IF(VLOOKUP($F$4,BD_ORÇAMENTO!$A:$DZ,99,0)=0,"",VLOOKUP($F$4,BD_ORÇAMENTO!$A:$DZ,99,0)))</f>
      </c>
      <c r="L25" s="48">
        <f t="shared" si="8"/>
      </c>
      <c r="M25" s="47">
        <f t="shared" si="5"/>
      </c>
      <c r="N25" s="46">
        <f>IF($F$4="","",IF(VLOOKUP($F$4,BD_ORÇAMENTO!$A:$DZ,100,0)=0,"",VLOOKUP($F$4,BD_ORÇAMENTO!$A:$DZ,100,0)))</f>
      </c>
      <c r="O25" s="48">
        <f t="shared" si="9"/>
      </c>
      <c r="P25" s="61">
        <f t="shared" si="0"/>
      </c>
      <c r="Q25" s="61">
        <f t="shared" si="1"/>
      </c>
      <c r="R25" s="19">
        <f t="shared" si="2"/>
      </c>
      <c r="S25" s="12"/>
      <c r="T25" s="10"/>
      <c r="U25" s="10"/>
      <c r="V25" s="10"/>
    </row>
    <row r="26" spans="1:22" ht="12" customHeight="1">
      <c r="A26" s="19">
        <f>IF($F$4="","",IF(VLOOKUP($F$4,BD_ORÇAMENTO!$A:$DZ,101,0)="","",VLOOKUP($F$4,BD_ORÇAMENTO!$A:$DZ,101,0)))</f>
      </c>
      <c r="B26" s="68">
        <f>IF($F$4="","",IF(VLOOKUP($F$4,BD_ORÇAMENTO!$A:$DZ,102,0)=0,"",VLOOKUP($F$4,BD_ORÇAMENTO!$A:$DZ,102,0)))</f>
      </c>
      <c r="C26" s="69">
        <f>IF($F$4="","",IF(VLOOKUP($F$4,BD_ORÇAMENTO!$A:$DZ,103,0)=0,"",VLOOKUP($F$4,BD_ORÇAMENTO!$A:$DZ,103,0)))</f>
      </c>
      <c r="D26" s="72"/>
      <c r="E26" s="72"/>
      <c r="F26" s="59">
        <f t="shared" si="6"/>
      </c>
      <c r="G26" s="47">
        <f t="shared" si="3"/>
      </c>
      <c r="H26" s="44">
        <f>IF($F$4="","",IF(VLOOKUP($F$4,BD_ORÇAMENTO!$A:$DZ,104,0)=0,"",VLOOKUP($F$4,BD_ORÇAMENTO!$A:$DZ,104,0)))</f>
      </c>
      <c r="I26" s="48">
        <f t="shared" si="7"/>
      </c>
      <c r="J26" s="73">
        <f t="shared" si="4"/>
      </c>
      <c r="K26" s="46">
        <f>IF($F$4="","",IF(VLOOKUP($F$4,BD_ORÇAMENTO!$A:$DZ,105,0)=0,"",VLOOKUP($F$4,BD_ORÇAMENTO!$A:$DZ,105,0)))</f>
      </c>
      <c r="L26" s="48">
        <f t="shared" si="8"/>
      </c>
      <c r="M26" s="47">
        <f t="shared" si="5"/>
      </c>
      <c r="N26" s="46">
        <f>IF($F$4="","",IF(VLOOKUP($F$4,BD_ORÇAMENTO!$A:$DZ,106,0)=0,"",VLOOKUP($F$4,BD_ORÇAMENTO!$A:$DZ,106,0)))</f>
      </c>
      <c r="O26" s="48">
        <f t="shared" si="9"/>
      </c>
      <c r="P26" s="61">
        <f t="shared" si="0"/>
      </c>
      <c r="Q26" s="61">
        <f t="shared" si="1"/>
      </c>
      <c r="R26" s="19">
        <f t="shared" si="2"/>
      </c>
      <c r="S26" s="12"/>
      <c r="T26" s="10"/>
      <c r="U26" s="10"/>
      <c r="V26" s="10"/>
    </row>
    <row r="27" spans="1:22" ht="12" customHeight="1">
      <c r="A27" s="19">
        <f>IF($F$4="","",IF(VLOOKUP($F$4,BD_ORÇAMENTO!$A:$DZ,107,0)="","",VLOOKUP($F$4,BD_ORÇAMENTO!$A:$DZ,107,0)))</f>
      </c>
      <c r="B27" s="68">
        <f>IF($F$4="","",IF(VLOOKUP($F$4,BD_ORÇAMENTO!$A:$DZ,108,0)=0,"",VLOOKUP($F$4,BD_ORÇAMENTO!$A:$DZ,108,0)))</f>
      </c>
      <c r="C27" s="69">
        <f>IF($F$4="","",IF(VLOOKUP($F$4,BD_ORÇAMENTO!$A:$DZ,109,0)=0,"",VLOOKUP($F$4,BD_ORÇAMENTO!$A:$DZ,109,0)))</f>
      </c>
      <c r="D27" s="72"/>
      <c r="E27" s="72"/>
      <c r="F27" s="59">
        <f t="shared" si="6"/>
      </c>
      <c r="G27" s="47">
        <f t="shared" si="3"/>
      </c>
      <c r="H27" s="44">
        <f>IF($F$4="","",IF(VLOOKUP($F$4,BD_ORÇAMENTO!$A:$DZ,110,0)=0,"",VLOOKUP($F$4,BD_ORÇAMENTO!$A:$DZ,110,0)))</f>
      </c>
      <c r="I27" s="48">
        <f t="shared" si="7"/>
      </c>
      <c r="J27" s="73">
        <f t="shared" si="4"/>
      </c>
      <c r="K27" s="46">
        <f>IF($F$4="","",IF(VLOOKUP($F$4,BD_ORÇAMENTO!$A:$DZ,111,0)=0,"",VLOOKUP($F$4,BD_ORÇAMENTO!$A:$DZ,111,0)))</f>
      </c>
      <c r="L27" s="48">
        <f t="shared" si="8"/>
      </c>
      <c r="M27" s="47">
        <f t="shared" si="5"/>
      </c>
      <c r="N27" s="46">
        <f>IF($F$4="","",IF(VLOOKUP($F$4,BD_ORÇAMENTO!$A:$DZ,112,0)=0,"",VLOOKUP($F$4,BD_ORÇAMENTO!$A:$DZ,112,0)))</f>
      </c>
      <c r="O27" s="48">
        <f t="shared" si="9"/>
      </c>
      <c r="P27" s="61">
        <f t="shared" si="0"/>
      </c>
      <c r="Q27" s="61">
        <f t="shared" si="1"/>
      </c>
      <c r="R27" s="19">
        <f t="shared" si="2"/>
      </c>
      <c r="S27" s="12"/>
      <c r="T27" s="10"/>
      <c r="U27" s="10"/>
      <c r="V27" s="10"/>
    </row>
    <row r="28" spans="1:22" ht="12" customHeight="1">
      <c r="A28" s="19">
        <f>IF($F$4="","",IF(VLOOKUP($F$4,BD_ORÇAMENTO!$A:$DZ,113,0)="","",VLOOKUP($F$4,BD_ORÇAMENTO!$A:$DZ,113,0)))</f>
      </c>
      <c r="B28" s="68">
        <f>IF($F$4="","",IF(VLOOKUP($F$4,BD_ORÇAMENTO!$A:$DZ,114,0)=0,"",VLOOKUP($F$4,BD_ORÇAMENTO!$A:$DZ,114,0)))</f>
      </c>
      <c r="C28" s="69">
        <f>IF($F$4="","",IF(VLOOKUP($F$4,BD_ORÇAMENTO!$A:$DZ,115,0)=0,"",VLOOKUP($F$4,BD_ORÇAMENTO!$A:$DZ,115,0)))</f>
      </c>
      <c r="D28" s="72"/>
      <c r="E28" s="72"/>
      <c r="F28" s="59">
        <f t="shared" si="6"/>
      </c>
      <c r="G28" s="47">
        <f t="shared" si="3"/>
      </c>
      <c r="H28" s="44">
        <f>IF($F$4="","",IF(VLOOKUP($F$4,BD_ORÇAMENTO!$A:$DZ,116,0)=0,"",VLOOKUP($F$4,BD_ORÇAMENTO!$A:$DZ,116,0)))</f>
      </c>
      <c r="I28" s="48">
        <f t="shared" si="7"/>
      </c>
      <c r="J28" s="73">
        <f t="shared" si="4"/>
      </c>
      <c r="K28" s="46">
        <f>IF($F$4="","",IF(VLOOKUP($F$4,BD_ORÇAMENTO!$A:$DZ,117,0)=0,"",VLOOKUP($F$4,BD_ORÇAMENTO!$A:$DZ,117,0)))</f>
      </c>
      <c r="L28" s="48">
        <f t="shared" si="8"/>
      </c>
      <c r="M28" s="47">
        <f t="shared" si="5"/>
      </c>
      <c r="N28" s="46">
        <f>IF($F$4="","",IF(VLOOKUP($F$4,BD_ORÇAMENTO!$A:$DZ,118,0)=0,"",VLOOKUP($F$4,BD_ORÇAMENTO!$A:$DZ,118,0)))</f>
      </c>
      <c r="O28" s="48">
        <f t="shared" si="9"/>
      </c>
      <c r="P28" s="61">
        <f t="shared" si="0"/>
      </c>
      <c r="Q28" s="61">
        <f t="shared" si="1"/>
      </c>
      <c r="R28" s="19">
        <f t="shared" si="2"/>
      </c>
      <c r="S28" s="12"/>
      <c r="T28" s="10"/>
      <c r="U28" s="10"/>
      <c r="V28" s="10"/>
    </row>
    <row r="29" spans="1:22" s="1" customFormat="1" ht="12" customHeight="1">
      <c r="A29" s="19">
        <f>IF($F$4="","",IF(VLOOKUP($F$4,BD_ORÇAMENTO!$A:$DZ,119,0)="","",VLOOKUP($F$4,BD_ORÇAMENTO!$A:$DZ,119,0)))</f>
      </c>
      <c r="B29" s="68">
        <f>IF($F$4="","",IF(VLOOKUP($F$4,BD_ORÇAMENTO!$A:$DZ,120,0)=0,"",VLOOKUP($F$4,BD_ORÇAMENTO!$A:$DZ,120,0)))</f>
      </c>
      <c r="C29" s="69">
        <f>IF($F$4="","",IF(VLOOKUP($F$4,BD_ORÇAMENTO!$A:$DZ,121,0)=0,"",VLOOKUP($F$4,BD_ORÇAMENTO!$A:$DZ,121,0)))</f>
      </c>
      <c r="D29" s="72"/>
      <c r="E29" s="72"/>
      <c r="F29" s="59">
        <f t="shared" si="6"/>
      </c>
      <c r="G29" s="47">
        <f t="shared" si="3"/>
      </c>
      <c r="H29" s="44">
        <f>IF($F$4="","",IF(VLOOKUP($F$4,BD_ORÇAMENTO!$A:$DZ,122,0)=0,"",VLOOKUP($F$4,BD_ORÇAMENTO!$A:$DZ,122,0)))</f>
      </c>
      <c r="I29" s="48">
        <f t="shared" si="7"/>
      </c>
      <c r="J29" s="73">
        <f t="shared" si="4"/>
      </c>
      <c r="K29" s="46">
        <f>IF($F$4="","",IF(VLOOKUP($F$4,BD_ORÇAMENTO!$A:$DZ,123,0)=0,"",VLOOKUP($F$4,BD_ORÇAMENTO!$A:$DZ,123,0)))</f>
      </c>
      <c r="L29" s="48">
        <f t="shared" si="8"/>
      </c>
      <c r="M29" s="47">
        <f t="shared" si="5"/>
      </c>
      <c r="N29" s="46">
        <f>IF($F$4="","",IF(VLOOKUP($F$4,BD_ORÇAMENTO!$A:$DZ,124,0)=0,"",VLOOKUP($F$4,BD_ORÇAMENTO!$A:$DZ,124,0)))</f>
      </c>
      <c r="O29" s="48">
        <f t="shared" si="9"/>
      </c>
      <c r="P29" s="61">
        <f t="shared" si="0"/>
      </c>
      <c r="Q29" s="61">
        <f t="shared" si="1"/>
      </c>
      <c r="R29" s="19">
        <f t="shared" si="2"/>
      </c>
      <c r="S29" s="15"/>
      <c r="T29" s="15"/>
      <c r="U29" s="9"/>
      <c r="V29" s="9"/>
    </row>
    <row r="30" spans="1:18" ht="12" customHeight="1" thickBot="1">
      <c r="A30" s="20">
        <f>IF($F$4="","",IF(VLOOKUP($F$4,BD_ORÇAMENTO!$A:$DZ,125,0)="","",VLOOKUP($F$4,BD_ORÇAMENTO!$A:$DZ,125,0)))</f>
      </c>
      <c r="B30" s="74">
        <f>IF($F$4="","",IF(VLOOKUP($F$4,BD_ORÇAMENTO!$A:$DZ,126,0)=0,"",VLOOKUP($F$4,BD_ORÇAMENTO!$A:$DZ,126,0)))</f>
      </c>
      <c r="C30" s="75">
        <f>IF($F$4="","",IF(VLOOKUP($F$4,BD_ORÇAMENTO!$A:$DZ,127,0)=0,"",VLOOKUP($F$4,BD_ORÇAMENTO!$A:$DZ,127,0)))</f>
      </c>
      <c r="D30" s="76"/>
      <c r="E30" s="76"/>
      <c r="F30" s="65">
        <f t="shared" si="6"/>
      </c>
      <c r="G30" s="49">
        <f t="shared" si="3"/>
      </c>
      <c r="H30" s="50">
        <f>IF($F$4="","",IF(VLOOKUP($F$4,BD_ORÇAMENTO!$A:$DZ,128,0)=0,"",VLOOKUP($F$4,BD_ORÇAMENTO!$A:$DZ,128,0)))</f>
      </c>
      <c r="I30" s="48">
        <f t="shared" si="7"/>
      </c>
      <c r="J30" s="77">
        <f t="shared" si="4"/>
      </c>
      <c r="K30" s="51">
        <f>IF($F$4="","",IF(VLOOKUP($F$4,BD_ORÇAMENTO!$A:$DZ,129,0)=0,"",VLOOKUP($F$4,BD_ORÇAMENTO!$A:$DZ,129,0)))</f>
      </c>
      <c r="L30" s="48">
        <f t="shared" si="8"/>
      </c>
      <c r="M30" s="49">
        <f t="shared" si="5"/>
      </c>
      <c r="N30" s="51">
        <f>IF($F$4="","",IF(VLOOKUP($F$4,BD_ORÇAMENTO!$A:$DZ,130,0)=0,"",VLOOKUP($F$4,BD_ORÇAMENTO!$A:$DZ,130,0)))</f>
      </c>
      <c r="O30" s="48">
        <f t="shared" si="9"/>
      </c>
      <c r="P30" s="67">
        <f t="shared" si="0"/>
      </c>
      <c r="Q30" s="67">
        <f t="shared" si="1"/>
      </c>
      <c r="R30" s="20">
        <f t="shared" si="2"/>
      </c>
    </row>
    <row r="31" spans="1:18" ht="12" customHeight="1">
      <c r="A31" s="128" t="s">
        <v>18</v>
      </c>
      <c r="B31" s="129"/>
      <c r="C31" s="180">
        <f>SUM(F11:F30)</f>
        <v>496</v>
      </c>
      <c r="D31" s="180"/>
      <c r="E31" s="180"/>
      <c r="F31" s="181"/>
      <c r="G31" s="132"/>
      <c r="H31" s="133"/>
      <c r="I31" s="133"/>
      <c r="J31" s="133"/>
      <c r="K31" s="133"/>
      <c r="L31" s="134"/>
      <c r="M31" s="135" t="s">
        <v>19</v>
      </c>
      <c r="N31" s="136"/>
      <c r="O31" s="137"/>
      <c r="P31" s="138" t="s">
        <v>20</v>
      </c>
      <c r="Q31" s="139" t="s">
        <v>21</v>
      </c>
      <c r="R31" s="140" t="s">
        <v>7</v>
      </c>
    </row>
    <row r="32" spans="1:18" ht="12" customHeight="1" thickBot="1">
      <c r="A32" s="141"/>
      <c r="B32" s="142"/>
      <c r="C32" s="182"/>
      <c r="D32" s="182"/>
      <c r="E32" s="182"/>
      <c r="F32" s="183"/>
      <c r="G32" s="145"/>
      <c r="H32" s="146"/>
      <c r="I32" s="146"/>
      <c r="J32" s="146"/>
      <c r="K32" s="146"/>
      <c r="L32" s="147"/>
      <c r="M32" s="148">
        <f>IF(B12="","",SUM($B$11:$C$30)/0.2)</f>
        <v>470</v>
      </c>
      <c r="N32" s="149"/>
      <c r="O32" s="150"/>
      <c r="P32" s="151">
        <f>SUM(P11:P30)</f>
        <v>9920</v>
      </c>
      <c r="Q32" s="151">
        <f>SUM(Q11:Q30)</f>
        <v>12400</v>
      </c>
      <c r="R32" s="152">
        <f>SUM(R11:R30)</f>
        <v>196</v>
      </c>
    </row>
    <row r="33" spans="1:18" ht="12" customHeight="1">
      <c r="A33" s="8"/>
      <c r="B33" s="9"/>
      <c r="C33" s="9"/>
      <c r="D33" s="9"/>
      <c r="E33" s="9"/>
      <c r="F33" s="8"/>
      <c r="G33" s="9"/>
      <c r="H33" s="11"/>
      <c r="I33" s="11"/>
      <c r="J33" s="11"/>
      <c r="K33" s="11"/>
      <c r="L33" s="11"/>
      <c r="M33" s="9"/>
      <c r="N33" s="8"/>
      <c r="O33" s="8"/>
      <c r="P33" s="11"/>
      <c r="Q33" s="8"/>
      <c r="R33" s="9"/>
    </row>
    <row r="34" spans="3:5" ht="12" customHeight="1">
      <c r="C34" s="2"/>
      <c r="D34" s="2"/>
      <c r="E34" s="2"/>
    </row>
    <row r="35" spans="2:12" ht="12" customHeight="1">
      <c r="B35" s="2"/>
      <c r="I35" s="3"/>
      <c r="J35" s="3"/>
      <c r="K35" s="3"/>
      <c r="L35" s="3"/>
    </row>
    <row r="36" ht="12" customHeight="1">
      <c r="B36" s="2"/>
    </row>
    <row r="37" spans="3:5" ht="12" customHeight="1">
      <c r="C37" s="2"/>
      <c r="D37" s="2"/>
      <c r="E37" s="2"/>
    </row>
    <row r="38" spans="2:5" ht="12" customHeight="1">
      <c r="B38" s="2"/>
      <c r="C38" s="2"/>
      <c r="D38" s="2"/>
      <c r="E38" s="2"/>
    </row>
    <row r="39" ht="12" customHeight="1">
      <c r="B39" s="2"/>
    </row>
    <row r="41" spans="3:5" ht="12" customHeight="1">
      <c r="C41" s="2"/>
      <c r="D41" s="2"/>
      <c r="E41" s="2"/>
    </row>
    <row r="43" spans="3:5" ht="12" customHeight="1">
      <c r="C43" s="2"/>
      <c r="D43" s="2"/>
      <c r="E43" s="2"/>
    </row>
  </sheetData>
  <sheetProtection/>
  <mergeCells count="22">
    <mergeCell ref="A1:R3"/>
    <mergeCell ref="M8:O9"/>
    <mergeCell ref="C7:G7"/>
    <mergeCell ref="R8:R10"/>
    <mergeCell ref="A4:C4"/>
    <mergeCell ref="N5:P5"/>
    <mergeCell ref="N7:P7"/>
    <mergeCell ref="Q5:R5"/>
    <mergeCell ref="Q6:R6"/>
    <mergeCell ref="A8:A10"/>
    <mergeCell ref="Q7:R7"/>
    <mergeCell ref="M32:O32"/>
    <mergeCell ref="G31:L32"/>
    <mergeCell ref="C31:F32"/>
    <mergeCell ref="A31:B32"/>
    <mergeCell ref="M31:O31"/>
    <mergeCell ref="C6:G6"/>
    <mergeCell ref="J7:M7"/>
    <mergeCell ref="H6:J6"/>
    <mergeCell ref="G8:I9"/>
    <mergeCell ref="J8:L9"/>
    <mergeCell ref="B8:F9"/>
  </mergeCells>
  <printOptions horizontalCentered="1"/>
  <pageMargins left="0.2755905511811024" right="0.4330708661417323" top="0.6299212598425197" bottom="0.5905511811023623" header="0.31496062992125984" footer="0.31496062992125984"/>
  <pageSetup fitToHeight="1" fitToWidth="1" horizontalDpi="300" verticalDpi="3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rafael.silveira</cp:lastModifiedBy>
  <cp:lastPrinted>2010-03-12T15:01:31Z</cp:lastPrinted>
  <dcterms:created xsi:type="dcterms:W3CDTF">2010-02-05T16:12:06Z</dcterms:created>
  <dcterms:modified xsi:type="dcterms:W3CDTF">2011-01-28T17:31:10Z</dcterms:modified>
  <cp:category/>
  <cp:version/>
  <cp:contentType/>
  <cp:contentStatus/>
</cp:coreProperties>
</file>