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05" windowWidth="15195" windowHeight="8700" firstSheet="6" activeTab="9"/>
  </bookViews>
  <sheets>
    <sheet name="BASE" sheetId="1" r:id="rId1"/>
    <sheet name="JAN_2010" sheetId="2" r:id="rId2"/>
    <sheet name="FEV_2010" sheetId="3" r:id="rId3"/>
    <sheet name="MAR_2010" sheetId="4" r:id="rId4"/>
    <sheet name="ABR_2010" sheetId="5" r:id="rId5"/>
    <sheet name="MAI_2010" sheetId="6" r:id="rId6"/>
    <sheet name="JUN_2010" sheetId="7" r:id="rId7"/>
    <sheet name="JUL_2010" sheetId="8" r:id="rId8"/>
    <sheet name="AGO_2010" sheetId="9" r:id="rId9"/>
    <sheet name="SET_2010" sheetId="10" r:id="rId10"/>
    <sheet name="OUT_2010" sheetId="11" r:id="rId11"/>
    <sheet name="NOV_2010" sheetId="12" r:id="rId12"/>
    <sheet name="DEZ_2010" sheetId="13" r:id="rId13"/>
    <sheet name="RESUMO" sheetId="14" r:id="rId14"/>
  </sheets>
  <definedNames>
    <definedName name="_xlnm._FilterDatabase" localSheetId="4" hidden="1">'ABR_2010'!$C$6:$L$34</definedName>
    <definedName name="_xlnm._FilterDatabase" localSheetId="8" hidden="1">'AGO_2010'!$C$6:$L$34</definedName>
    <definedName name="_xlnm._FilterDatabase" localSheetId="12" hidden="1">'DEZ_2010'!$C$6:$L$32</definedName>
    <definedName name="_xlnm._FilterDatabase" localSheetId="2" hidden="1">'FEV_2010'!$C$6:$L$34</definedName>
    <definedName name="_xlnm._FilterDatabase" localSheetId="1" hidden="1">'JAN_2010'!$C$6:$L$34</definedName>
    <definedName name="_xlnm._FilterDatabase" localSheetId="7" hidden="1">'JUL_2010'!$C$6:$L$34</definedName>
    <definedName name="_xlnm._FilterDatabase" localSheetId="6" hidden="1">'JUN_2010'!$C$6:$L$34</definedName>
    <definedName name="_xlnm._FilterDatabase" localSheetId="5" hidden="1">'MAI_2010'!$C$6:$L$34</definedName>
    <definedName name="_xlnm._FilterDatabase" localSheetId="3" hidden="1">'MAR_2010'!$C$6:$L$34</definedName>
    <definedName name="_xlnm._FilterDatabase" localSheetId="11" hidden="1">'NOV_2010'!$C$6:$L$34</definedName>
    <definedName name="_xlnm._FilterDatabase" localSheetId="10" hidden="1">'OUT_2010'!$C$6:$L$34</definedName>
    <definedName name="_xlnm._FilterDatabase" localSheetId="13" hidden="1">'RESUMO'!$B$4:$Q$16</definedName>
    <definedName name="_xlnm._FilterDatabase" localSheetId="9" hidden="1">'SET_2010'!$C$6:$L$34</definedName>
  </definedNames>
  <calcPr fullCalcOnLoad="1"/>
</workbook>
</file>

<file path=xl/sharedStrings.xml><?xml version="1.0" encoding="utf-8"?>
<sst xmlns="http://schemas.openxmlformats.org/spreadsheetml/2006/main" count="1552" uniqueCount="142">
  <si>
    <t>Classificação</t>
  </si>
  <si>
    <t>Cod.</t>
  </si>
  <si>
    <t>JANEIRO</t>
  </si>
  <si>
    <t>Renda firmada</t>
  </si>
  <si>
    <t>Renda</t>
  </si>
  <si>
    <t>BC_ Dados</t>
  </si>
  <si>
    <t>VESTUARIO</t>
  </si>
  <si>
    <t>LAZER</t>
  </si>
  <si>
    <t>EDUCAÇÃO</t>
  </si>
  <si>
    <t>INVESTIMENTO</t>
  </si>
  <si>
    <t>MORADIA</t>
  </si>
  <si>
    <t>TRANSPORTE</t>
  </si>
  <si>
    <t>ALIMENTAÇÃO</t>
  </si>
  <si>
    <t>TELEFONIA</t>
  </si>
  <si>
    <t>DEPENDENTES</t>
  </si>
  <si>
    <t>DEVEDORES</t>
  </si>
  <si>
    <t>EMPRESTIMO</t>
  </si>
  <si>
    <t>VAREAVÉL</t>
  </si>
  <si>
    <t>CUSTO VARIAVÉL</t>
  </si>
  <si>
    <t>CUSTO FIXO</t>
  </si>
  <si>
    <t>CUSTO FIXO / VARIAVÉL</t>
  </si>
  <si>
    <t>DATA ATUAL:</t>
  </si>
  <si>
    <t>DESCRIÇÃO</t>
  </si>
  <si>
    <t>COD.</t>
  </si>
  <si>
    <t>CLASSIFICAÇÃO</t>
  </si>
  <si>
    <t>TIPO DE CUSTO</t>
  </si>
  <si>
    <t>VALOR</t>
  </si>
  <si>
    <t>VALOR PG</t>
  </si>
  <si>
    <t>DATA</t>
  </si>
  <si>
    <t>Á PRAZO / PARCELA</t>
  </si>
  <si>
    <t>RENDA</t>
  </si>
  <si>
    <t>DATA PREVISTA</t>
  </si>
  <si>
    <t>STAUS PG</t>
  </si>
  <si>
    <t>RENDA FIRMADA</t>
  </si>
  <si>
    <t>SALDO ANTERIOR</t>
  </si>
  <si>
    <t>SALDO ATUAL</t>
  </si>
  <si>
    <t>GESTÃO CONTAS PAI</t>
  </si>
  <si>
    <t>FIXA MENSAL</t>
  </si>
  <si>
    <t>FIXA ANUAL</t>
  </si>
  <si>
    <t xml:space="preserve">CARTÃO </t>
  </si>
  <si>
    <t>UTILIZADO</t>
  </si>
  <si>
    <t>FEVEREIRO</t>
  </si>
  <si>
    <t>SAUDE</t>
  </si>
  <si>
    <t>x</t>
  </si>
  <si>
    <t>SALDO MÊS</t>
  </si>
  <si>
    <t>MARÇO</t>
  </si>
  <si>
    <t>ABRIL</t>
  </si>
  <si>
    <t>MAIO</t>
  </si>
  <si>
    <t>JUNHO</t>
  </si>
  <si>
    <t>JULHO</t>
  </si>
  <si>
    <t>AGOSTO</t>
  </si>
  <si>
    <t>MANUTENÇÃO CARRO</t>
  </si>
  <si>
    <t>DATAS COMEMORATIVAS</t>
  </si>
  <si>
    <t>INDEFINIDO</t>
  </si>
  <si>
    <t>SETEMBRO</t>
  </si>
  <si>
    <t>OUTUBRO</t>
  </si>
  <si>
    <t>NOVEMBRO</t>
  </si>
  <si>
    <t>DEZEMBRO</t>
  </si>
  <si>
    <t>MÊS</t>
  </si>
  <si>
    <t>Total</t>
  </si>
  <si>
    <t>Cód.</t>
  </si>
  <si>
    <t>Classificação Custo</t>
  </si>
  <si>
    <t>Código visualização Gráfico</t>
  </si>
  <si>
    <t>VALORES</t>
  </si>
  <si>
    <t>GESTÃO DE CARTÃO</t>
  </si>
  <si>
    <t>A RECEBER</t>
  </si>
  <si>
    <t>A PAGAR</t>
  </si>
  <si>
    <t>SALDO</t>
  </si>
  <si>
    <t>A</t>
  </si>
  <si>
    <t>B</t>
  </si>
  <si>
    <t>C</t>
  </si>
  <si>
    <t>RENDA PREVISTA</t>
  </si>
  <si>
    <t>SALDO A PAGAR MÊS</t>
  </si>
  <si>
    <t>TOTAL PAGAR MÊS</t>
  </si>
  <si>
    <t>VALORES PAGO MÊS</t>
  </si>
  <si>
    <t>ANTECONCEPICIONAL</t>
  </si>
  <si>
    <t>MANICURE</t>
  </si>
  <si>
    <t>VALE</t>
  </si>
  <si>
    <t>PG</t>
  </si>
  <si>
    <t>TENIS PUMA</t>
  </si>
  <si>
    <t>CARTÃO BANCO REAL</t>
  </si>
  <si>
    <t>2 // 4</t>
  </si>
  <si>
    <t>CALÇA JEANS ZUNE</t>
  </si>
  <si>
    <t>1 // 2</t>
  </si>
  <si>
    <t>DROGARIA COLIRIO</t>
  </si>
  <si>
    <t>PRESENTE PAI</t>
  </si>
  <si>
    <t>ROUPA HERING</t>
  </si>
  <si>
    <t>PASSAGEN  TRABALHO</t>
  </si>
  <si>
    <t>ANO NOVO PRAIA</t>
  </si>
  <si>
    <t>FÉRIAS PRAIA FAMILIA</t>
  </si>
  <si>
    <t>RECARGA CELULAR</t>
  </si>
  <si>
    <t>SANTA CALCINHAS</t>
  </si>
  <si>
    <t>SPEED</t>
  </si>
  <si>
    <t>CATEGORIA</t>
  </si>
  <si>
    <t>CÓD.</t>
  </si>
  <si>
    <t>CURSO INGLÊS</t>
  </si>
  <si>
    <t>CURSO ESPANHOL</t>
  </si>
  <si>
    <t>ACADEMIA</t>
  </si>
  <si>
    <t>DOAÇÃO RAFAEL PASSAGEM</t>
  </si>
  <si>
    <t>3 // 4</t>
  </si>
  <si>
    <t>2 // 2</t>
  </si>
  <si>
    <t>4 // 4</t>
  </si>
  <si>
    <t>EMPRES. CARRO PAI</t>
  </si>
  <si>
    <t>MASSAGEM TRABALHO</t>
  </si>
  <si>
    <t>CABELEEIRO</t>
  </si>
  <si>
    <t>ROUPAS</t>
  </si>
  <si>
    <t>POUPANÇA</t>
  </si>
  <si>
    <t>SALÁRIO</t>
  </si>
  <si>
    <t>IPVA</t>
  </si>
  <si>
    <t>SEGURO</t>
  </si>
  <si>
    <t>1 // 10</t>
  </si>
  <si>
    <t>1 // 4</t>
  </si>
  <si>
    <t>2 // 10</t>
  </si>
  <si>
    <t>3 // 10</t>
  </si>
  <si>
    <t>4 // 10</t>
  </si>
  <si>
    <t>5 // 10</t>
  </si>
  <si>
    <t>6 // 10</t>
  </si>
  <si>
    <t>7 // 10</t>
  </si>
  <si>
    <t>8 // 10</t>
  </si>
  <si>
    <t>9 // 10</t>
  </si>
  <si>
    <t>10 // 10</t>
  </si>
  <si>
    <t>VIAGEN ENTRADA 25%</t>
  </si>
  <si>
    <t>VIAGEN ARGENTINA</t>
  </si>
  <si>
    <t>VIAGEN FLORIPA  HOTEL</t>
  </si>
  <si>
    <t>VIAGEN FLORIPA  VOO</t>
  </si>
  <si>
    <t>VIAGEM FLORIPA VOO</t>
  </si>
  <si>
    <t>PRESENTE MÃE</t>
  </si>
  <si>
    <t>HORA EXTRA</t>
  </si>
  <si>
    <t>VIAGEM ARGENTINA</t>
  </si>
  <si>
    <t>TAXA DE EMBARQUE ARG</t>
  </si>
  <si>
    <t>VIAGEN FLORIPA DIA</t>
  </si>
  <si>
    <t>VIAGEM BAHIA</t>
  </si>
  <si>
    <t>CABELEIRO</t>
  </si>
  <si>
    <t>CARTÃO</t>
  </si>
  <si>
    <t>DECIMO 13</t>
  </si>
  <si>
    <t>PLR</t>
  </si>
  <si>
    <t>PERFUMARIA</t>
  </si>
  <si>
    <t>A RECEBR</t>
  </si>
  <si>
    <t xml:space="preserve">SALDO </t>
  </si>
  <si>
    <t xml:space="preserve">MAIO </t>
  </si>
  <si>
    <t>JANEIRO 2012</t>
  </si>
  <si>
    <t>RESUMO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</si>
</sst>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.00"/>
    <numFmt numFmtId="179" formatCode="0.0%"/>
    <numFmt numFmtId="180" formatCode="&quot;R$ &quot;#,##0.00;[Red]&quot;R$ &quot;#,##0.00"/>
    <numFmt numFmtId="181" formatCode="[$-416]dddd\,\ d&quot; de &quot;mmmm&quot; de &quot;yyyy"/>
    <numFmt numFmtId="182" formatCode="[$-F800]dddd\,\ mmmm\ dd\,\ yyyy"/>
    <numFmt numFmtId="183" formatCode="dd/mm/yy;@"/>
    <numFmt numFmtId="184" formatCode="#,##0.00;[Red]#,##0.00"/>
    <numFmt numFmtId="185" formatCode="[$-409]dddd\,\ mmmm\ dd\,\ yyyy"/>
    <numFmt numFmtId="186" formatCode="#,##0.00000000000"/>
    <numFmt numFmtId="187" formatCode="0.0"/>
    <numFmt numFmtId="188" formatCode="0.00000"/>
    <numFmt numFmtId="189" formatCode="0.000000"/>
    <numFmt numFmtId="190" formatCode="0.0000000"/>
    <numFmt numFmtId="191" formatCode="0.0000"/>
    <numFmt numFmtId="192" formatCode="0.000"/>
    <numFmt numFmtId="193" formatCode="#,##0.0000000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&quot;$&quot;#,##0"/>
    <numFmt numFmtId="199" formatCode="mmmm"/>
    <numFmt numFmtId="200" formatCode="mmm\-yyyy"/>
    <numFmt numFmtId="201" formatCode="#,##0;[Red]#,##0"/>
  </numFmts>
  <fonts count="57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sz val="8.5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b/>
      <sz val="7.8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42" fillId="38" borderId="0" applyNumberFormat="0" applyBorder="0" applyAlignment="0" applyProtection="0"/>
    <xf numFmtId="0" fontId="12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3" fillId="42" borderId="5" applyNumberFormat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6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53" borderId="10" applyNumberFormat="0" applyFont="0" applyAlignment="0" applyProtection="0"/>
    <xf numFmtId="0" fontId="9" fillId="54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3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17" applyNumberFormat="0" applyFill="0" applyAlignment="0" applyProtection="0"/>
    <xf numFmtId="17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 vertical="center" shrinkToFit="1"/>
    </xf>
    <xf numFmtId="0" fontId="2" fillId="0" borderId="0" xfId="0" applyFont="1" applyAlignment="1">
      <alignment/>
    </xf>
    <xf numFmtId="17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0" xfId="0" applyFill="1" applyBorder="1" applyAlignment="1">
      <alignment horizontal="left" shrinkToFit="1"/>
    </xf>
    <xf numFmtId="0" fontId="3" fillId="0" borderId="21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183" fontId="0" fillId="0" borderId="18" xfId="0" applyNumberForma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183" fontId="0" fillId="0" borderId="22" xfId="0" applyNumberFormat="1" applyBorder="1" applyAlignment="1">
      <alignment horizontal="center" shrinkToFit="1"/>
    </xf>
    <xf numFmtId="178" fontId="0" fillId="0" borderId="19" xfId="0" applyNumberFormat="1" applyBorder="1" applyAlignment="1">
      <alignment horizontal="center" shrinkToFit="1"/>
    </xf>
    <xf numFmtId="1" fontId="0" fillId="0" borderId="0" xfId="0" applyNumberFormat="1" applyAlignment="1">
      <alignment/>
    </xf>
    <xf numFmtId="180" fontId="3" fillId="0" borderId="23" xfId="0" applyNumberFormat="1" applyFont="1" applyBorder="1" applyAlignment="1">
      <alignment horizontal="center" shrinkToFi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87">
      <alignment/>
      <protection/>
    </xf>
    <xf numFmtId="0" fontId="9" fillId="0" borderId="24" xfId="87" applyBorder="1" applyAlignment="1">
      <alignment/>
      <protection/>
    </xf>
    <xf numFmtId="0" fontId="9" fillId="0" borderId="25" xfId="87" applyBorder="1" applyAlignment="1">
      <alignment/>
      <protection/>
    </xf>
    <xf numFmtId="178" fontId="9" fillId="0" borderId="26" xfId="87" applyNumberFormat="1" applyFill="1" applyBorder="1" applyAlignment="1">
      <alignment shrinkToFit="1"/>
      <protection/>
    </xf>
    <xf numFmtId="1" fontId="9" fillId="0" borderId="0" xfId="87" applyNumberFormat="1" applyBorder="1">
      <alignment/>
      <protection/>
    </xf>
    <xf numFmtId="178" fontId="9" fillId="0" borderId="0" xfId="87" applyNumberFormat="1" applyFill="1" applyBorder="1" applyAlignment="1">
      <alignment shrinkToFit="1"/>
      <protection/>
    </xf>
    <xf numFmtId="178" fontId="9" fillId="0" borderId="23" xfId="87" applyNumberFormat="1" applyFill="1" applyBorder="1" applyAlignment="1">
      <alignment shrinkToFit="1"/>
      <protection/>
    </xf>
    <xf numFmtId="178" fontId="9" fillId="0" borderId="27" xfId="87" applyNumberFormat="1" applyBorder="1" applyAlignment="1">
      <alignment shrinkToFit="1"/>
      <protection/>
    </xf>
    <xf numFmtId="178" fontId="9" fillId="0" borderId="28" xfId="87" applyNumberFormat="1" applyFill="1" applyBorder="1" applyAlignment="1">
      <alignment shrinkToFit="1"/>
      <protection/>
    </xf>
    <xf numFmtId="178" fontId="9" fillId="0" borderId="29" xfId="87" applyNumberFormat="1" applyFill="1" applyBorder="1" applyAlignment="1">
      <alignment shrinkToFit="1"/>
      <protection/>
    </xf>
    <xf numFmtId="180" fontId="9" fillId="0" borderId="0" xfId="87" applyNumberFormat="1" applyFill="1" applyAlignment="1">
      <alignment shrinkToFit="1"/>
      <protection/>
    </xf>
    <xf numFmtId="178" fontId="9" fillId="0" borderId="0" xfId="87" applyNumberFormat="1" applyFill="1" applyAlignment="1">
      <alignment shrinkToFit="1"/>
      <protection/>
    </xf>
    <xf numFmtId="0" fontId="9" fillId="0" borderId="0" xfId="87" applyFont="1">
      <alignment/>
      <protection/>
    </xf>
    <xf numFmtId="178" fontId="9" fillId="0" borderId="0" xfId="87" applyNumberFormat="1" applyFont="1" applyFill="1" applyBorder="1" applyAlignment="1">
      <alignment shrinkToFit="1"/>
      <protection/>
    </xf>
    <xf numFmtId="178" fontId="9" fillId="0" borderId="23" xfId="87" applyNumberFormat="1" applyFont="1" applyFill="1" applyBorder="1" applyAlignment="1">
      <alignment shrinkToFit="1"/>
      <protection/>
    </xf>
    <xf numFmtId="178" fontId="9" fillId="0" borderId="26" xfId="87" applyNumberFormat="1" applyFont="1" applyFill="1" applyBorder="1" applyAlignment="1">
      <alignment shrinkToFit="1"/>
      <protection/>
    </xf>
    <xf numFmtId="184" fontId="0" fillId="0" borderId="0" xfId="0" applyNumberFormat="1" applyAlignment="1">
      <alignment/>
    </xf>
    <xf numFmtId="0" fontId="5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0" fillId="0" borderId="0" xfId="0" applyAlignment="1">
      <alignment shrinkToFit="1"/>
    </xf>
    <xf numFmtId="0" fontId="8" fillId="0" borderId="30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0" fillId="56" borderId="32" xfId="0" applyFill="1" applyBorder="1" applyAlignment="1">
      <alignment horizontal="center" shrinkToFit="1"/>
    </xf>
    <xf numFmtId="0" fontId="0" fillId="56" borderId="19" xfId="0" applyFill="1" applyBorder="1" applyAlignment="1">
      <alignment horizontal="center" shrinkToFit="1"/>
    </xf>
    <xf numFmtId="0" fontId="0" fillId="56" borderId="33" xfId="0" applyFill="1" applyBorder="1" applyAlignment="1">
      <alignment horizontal="center" shrinkToFit="1"/>
    </xf>
    <xf numFmtId="178" fontId="0" fillId="0" borderId="19" xfId="0" applyNumberFormat="1" applyBorder="1" applyAlignment="1">
      <alignment horizontal="center"/>
    </xf>
    <xf numFmtId="178" fontId="0" fillId="0" borderId="33" xfId="0" applyNumberFormat="1" applyBorder="1" applyAlignment="1">
      <alignment horizontal="center"/>
    </xf>
    <xf numFmtId="178" fontId="0" fillId="0" borderId="34" xfId="0" applyNumberFormat="1" applyBorder="1" applyAlignment="1">
      <alignment horizontal="center"/>
    </xf>
    <xf numFmtId="178" fontId="0" fillId="0" borderId="35" xfId="0" applyNumberFormat="1" applyBorder="1" applyAlignment="1">
      <alignment horizontal="center"/>
    </xf>
    <xf numFmtId="199" fontId="8" fillId="0" borderId="32" xfId="0" applyNumberFormat="1" applyFont="1" applyBorder="1" applyAlignment="1">
      <alignment horizontal="center"/>
    </xf>
    <xf numFmtId="199" fontId="8" fillId="0" borderId="3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37" xfId="0" applyFont="1" applyBorder="1" applyAlignment="1">
      <alignment horizontal="center" shrinkToFit="1"/>
    </xf>
    <xf numFmtId="0" fontId="0" fillId="56" borderId="37" xfId="0" applyFill="1" applyBorder="1" applyAlignment="1">
      <alignment horizontal="center"/>
    </xf>
    <xf numFmtId="0" fontId="0" fillId="56" borderId="37" xfId="0" applyFill="1" applyBorder="1" applyAlignment="1">
      <alignment/>
    </xf>
    <xf numFmtId="0" fontId="8" fillId="0" borderId="38" xfId="0" applyFont="1" applyBorder="1" applyAlignment="1">
      <alignment horizontal="center"/>
    </xf>
    <xf numFmtId="178" fontId="0" fillId="0" borderId="39" xfId="0" applyNumberFormat="1" applyBorder="1" applyAlignment="1">
      <alignment horizontal="center"/>
    </xf>
    <xf numFmtId="178" fontId="0" fillId="0" borderId="40" xfId="0" applyNumberFormat="1" applyBorder="1" applyAlignment="1">
      <alignment horizontal="center"/>
    </xf>
    <xf numFmtId="0" fontId="8" fillId="57" borderId="4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shrinkToFit="1"/>
    </xf>
    <xf numFmtId="180" fontId="3" fillId="0" borderId="0" xfId="0" applyNumberFormat="1" applyFont="1" applyBorder="1" applyAlignment="1">
      <alignment horizontal="center"/>
    </xf>
    <xf numFmtId="180" fontId="3" fillId="0" borderId="42" xfId="0" applyNumberFormat="1" applyFont="1" applyBorder="1" applyAlignment="1">
      <alignment horizontal="center" shrinkToFit="1"/>
    </xf>
    <xf numFmtId="180" fontId="3" fillId="0" borderId="42" xfId="0" applyNumberFormat="1" applyFon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0" fontId="3" fillId="0" borderId="43" xfId="0" applyNumberFormat="1" applyFont="1" applyBorder="1" applyAlignment="1">
      <alignment horizontal="center" shrinkToFit="1"/>
    </xf>
    <xf numFmtId="0" fontId="0" fillId="0" borderId="44" xfId="0" applyFont="1" applyBorder="1" applyAlignment="1">
      <alignment horizontal="center" vertical="center" shrinkToFit="1"/>
    </xf>
    <xf numFmtId="178" fontId="3" fillId="0" borderId="45" xfId="0" applyNumberFormat="1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shrinkToFit="1"/>
    </xf>
    <xf numFmtId="0" fontId="0" fillId="0" borderId="47" xfId="0" applyBorder="1" applyAlignment="1">
      <alignment horizontal="center" shrinkToFit="1"/>
    </xf>
    <xf numFmtId="0" fontId="3" fillId="0" borderId="48" xfId="0" applyFont="1" applyBorder="1" applyAlignment="1">
      <alignment horizontal="center" shrinkToFit="1"/>
    </xf>
    <xf numFmtId="178" fontId="0" fillId="0" borderId="48" xfId="0" applyNumberFormat="1" applyBorder="1" applyAlignment="1">
      <alignment horizontal="center" shrinkToFit="1"/>
    </xf>
    <xf numFmtId="183" fontId="0" fillId="0" borderId="49" xfId="0" applyNumberFormat="1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1" fontId="0" fillId="0" borderId="50" xfId="0" applyNumberFormat="1" applyBorder="1" applyAlignment="1">
      <alignment horizontal="center" shrinkToFit="1"/>
    </xf>
    <xf numFmtId="0" fontId="0" fillId="0" borderId="51" xfId="0" applyBorder="1" applyAlignment="1">
      <alignment shrinkToFit="1"/>
    </xf>
    <xf numFmtId="1" fontId="0" fillId="0" borderId="42" xfId="0" applyNumberFormat="1" applyBorder="1" applyAlignment="1">
      <alignment horizontal="center"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horizontal="center" shrinkToFit="1"/>
    </xf>
    <xf numFmtId="0" fontId="3" fillId="0" borderId="54" xfId="0" applyFont="1" applyBorder="1" applyAlignment="1">
      <alignment horizontal="center" shrinkToFit="1"/>
    </xf>
    <xf numFmtId="178" fontId="0" fillId="0" borderId="54" xfId="0" applyNumberFormat="1" applyBorder="1" applyAlignment="1">
      <alignment horizontal="center" shrinkToFit="1"/>
    </xf>
    <xf numFmtId="183" fontId="0" fillId="0" borderId="55" xfId="0" applyNumberForma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1" fontId="0" fillId="0" borderId="43" xfId="0" applyNumberFormat="1" applyBorder="1" applyAlignment="1">
      <alignment horizontal="center" shrinkToFit="1"/>
    </xf>
    <xf numFmtId="0" fontId="0" fillId="39" borderId="56" xfId="0" applyFill="1" applyBorder="1" applyAlignment="1">
      <alignment/>
    </xf>
    <xf numFmtId="0" fontId="0" fillId="39" borderId="57" xfId="0" applyFill="1" applyBorder="1" applyAlignment="1">
      <alignment/>
    </xf>
    <xf numFmtId="0" fontId="0" fillId="39" borderId="58" xfId="0" applyFill="1" applyBorder="1" applyAlignment="1">
      <alignment/>
    </xf>
    <xf numFmtId="0" fontId="0" fillId="39" borderId="59" xfId="0" applyFill="1" applyBorder="1" applyAlignment="1">
      <alignment/>
    </xf>
    <xf numFmtId="0" fontId="0" fillId="39" borderId="60" xfId="0" applyFill="1" applyBorder="1" applyAlignment="1">
      <alignment/>
    </xf>
    <xf numFmtId="0" fontId="0" fillId="0" borderId="61" xfId="0" applyFont="1" applyBorder="1" applyAlignment="1">
      <alignment horizontal="center" shrinkToFit="1"/>
    </xf>
    <xf numFmtId="0" fontId="0" fillId="0" borderId="44" xfId="0" applyFont="1" applyBorder="1" applyAlignment="1">
      <alignment horizontal="center" shrinkToFit="1"/>
    </xf>
    <xf numFmtId="0" fontId="0" fillId="0" borderId="42" xfId="0" applyBorder="1" applyAlignment="1">
      <alignment horizontal="center"/>
    </xf>
    <xf numFmtId="0" fontId="0" fillId="0" borderId="54" xfId="0" applyBorder="1" applyAlignment="1">
      <alignment horizontal="center"/>
    </xf>
    <xf numFmtId="178" fontId="0" fillId="0" borderId="55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178" fontId="3" fillId="0" borderId="64" xfId="0" applyNumberFormat="1" applyFont="1" applyBorder="1" applyAlignment="1">
      <alignment horizontal="center"/>
    </xf>
    <xf numFmtId="0" fontId="0" fillId="0" borderId="65" xfId="0" applyBorder="1" applyAlignment="1">
      <alignment shrinkToFit="1"/>
    </xf>
    <xf numFmtId="0" fontId="0" fillId="0" borderId="21" xfId="0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39" borderId="67" xfId="0" applyFill="1" applyBorder="1" applyAlignment="1">
      <alignment/>
    </xf>
    <xf numFmtId="0" fontId="0" fillId="39" borderId="68" xfId="0" applyFill="1" applyBorder="1" applyAlignment="1">
      <alignment/>
    </xf>
    <xf numFmtId="0" fontId="0" fillId="39" borderId="69" xfId="0" applyFill="1" applyBorder="1" applyAlignment="1">
      <alignment/>
    </xf>
    <xf numFmtId="180" fontId="3" fillId="0" borderId="70" xfId="0" applyNumberFormat="1" applyFont="1" applyBorder="1" applyAlignment="1">
      <alignment horizontal="center" shrinkToFit="1"/>
    </xf>
    <xf numFmtId="180" fontId="3" fillId="0" borderId="66" xfId="0" applyNumberFormat="1" applyFont="1" applyBorder="1" applyAlignment="1">
      <alignment horizontal="center" shrinkToFit="1"/>
    </xf>
    <xf numFmtId="0" fontId="2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 shrinkToFi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shrinkToFit="1"/>
    </xf>
    <xf numFmtId="180" fontId="0" fillId="0" borderId="73" xfId="0" applyNumberFormat="1" applyFont="1" applyBorder="1" applyAlignment="1">
      <alignment shrinkToFit="1"/>
    </xf>
    <xf numFmtId="180" fontId="0" fillId="0" borderId="73" xfId="0" applyNumberFormat="1" applyBorder="1" applyAlignment="1">
      <alignment shrinkToFit="1"/>
    </xf>
    <xf numFmtId="180" fontId="0" fillId="0" borderId="74" xfId="0" applyNumberFormat="1" applyBorder="1" applyAlignment="1">
      <alignment shrinkToFit="1"/>
    </xf>
    <xf numFmtId="180" fontId="8" fillId="0" borderId="20" xfId="0" applyNumberFormat="1" applyFont="1" applyBorder="1" applyAlignment="1">
      <alignment shrinkToFit="1"/>
    </xf>
    <xf numFmtId="180" fontId="8" fillId="0" borderId="53" xfId="0" applyNumberFormat="1" applyFont="1" applyBorder="1" applyAlignment="1">
      <alignment shrinkToFit="1"/>
    </xf>
    <xf numFmtId="178" fontId="3" fillId="0" borderId="75" xfId="0" applyNumberFormat="1" applyFont="1" applyBorder="1" applyAlignment="1">
      <alignment horizontal="center" vertical="center" shrinkToFit="1"/>
    </xf>
    <xf numFmtId="178" fontId="3" fillId="0" borderId="76" xfId="0" applyNumberFormat="1" applyFont="1" applyBorder="1" applyAlignment="1">
      <alignment horizontal="center" vertical="center" shrinkToFit="1"/>
    </xf>
    <xf numFmtId="178" fontId="0" fillId="0" borderId="49" xfId="0" applyNumberFormat="1" applyBorder="1" applyAlignment="1">
      <alignment horizontal="center" shrinkToFit="1"/>
    </xf>
    <xf numFmtId="178" fontId="0" fillId="0" borderId="18" xfId="0" applyNumberFormat="1" applyBorder="1" applyAlignment="1">
      <alignment horizontal="center" shrinkToFit="1"/>
    </xf>
    <xf numFmtId="178" fontId="0" fillId="0" borderId="55" xfId="0" applyNumberFormat="1" applyBorder="1" applyAlignment="1">
      <alignment horizontal="center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77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178" fontId="3" fillId="0" borderId="47" xfId="0" applyNumberFormat="1" applyFont="1" applyFill="1" applyBorder="1" applyAlignment="1">
      <alignment horizontal="center" shrinkToFit="1"/>
    </xf>
    <xf numFmtId="178" fontId="3" fillId="0" borderId="20" xfId="0" applyNumberFormat="1" applyFont="1" applyFill="1" applyBorder="1" applyAlignment="1">
      <alignment horizontal="center" shrinkToFit="1"/>
    </xf>
    <xf numFmtId="178" fontId="3" fillId="0" borderId="53" xfId="0" applyNumberFormat="1" applyFont="1" applyFill="1" applyBorder="1" applyAlignment="1">
      <alignment horizontal="center" shrinkToFit="1"/>
    </xf>
    <xf numFmtId="0" fontId="3" fillId="39" borderId="57" xfId="0" applyFont="1" applyFill="1" applyBorder="1" applyAlignment="1">
      <alignment/>
    </xf>
    <xf numFmtId="0" fontId="2" fillId="0" borderId="78" xfId="0" applyFont="1" applyBorder="1" applyAlignment="1">
      <alignment horizontal="center"/>
    </xf>
    <xf numFmtId="180" fontId="3" fillId="0" borderId="50" xfId="0" applyNumberFormat="1" applyFont="1" applyBorder="1" applyAlignment="1">
      <alignment horizontal="center" shrinkToFit="1"/>
    </xf>
    <xf numFmtId="178" fontId="0" fillId="0" borderId="66" xfId="0" applyNumberFormat="1" applyBorder="1" applyAlignment="1">
      <alignment horizontal="center"/>
    </xf>
    <xf numFmtId="201" fontId="0" fillId="0" borderId="65" xfId="0" applyNumberFormat="1" applyFont="1" applyBorder="1" applyAlignment="1">
      <alignment horizontal="center" shrinkToFit="1"/>
    </xf>
    <xf numFmtId="201" fontId="0" fillId="0" borderId="51" xfId="0" applyNumberFormat="1" applyBorder="1" applyAlignment="1">
      <alignment horizontal="center"/>
    </xf>
    <xf numFmtId="201" fontId="0" fillId="0" borderId="51" xfId="0" applyNumberFormat="1" applyFill="1" applyBorder="1" applyAlignment="1">
      <alignment horizontal="center"/>
    </xf>
    <xf numFmtId="201" fontId="0" fillId="0" borderId="52" xfId="0" applyNumberFormat="1" applyBorder="1" applyAlignment="1">
      <alignment horizontal="center"/>
    </xf>
    <xf numFmtId="1" fontId="3" fillId="0" borderId="21" xfId="0" applyNumberFormat="1" applyFont="1" applyBorder="1" applyAlignment="1">
      <alignment horizontal="center" shrinkToFit="1"/>
    </xf>
    <xf numFmtId="1" fontId="3" fillId="0" borderId="45" xfId="0" applyNumberFormat="1" applyFont="1" applyBorder="1" applyAlignment="1">
      <alignment horizontal="center" shrinkToFit="1"/>
    </xf>
    <xf numFmtId="0" fontId="2" fillId="0" borderId="56" xfId="0" applyFont="1" applyFill="1" applyBorder="1" applyAlignment="1">
      <alignment horizontal="center" shrinkToFit="1"/>
    </xf>
    <xf numFmtId="0" fontId="2" fillId="0" borderId="58" xfId="0" applyFont="1" applyBorder="1" applyAlignment="1">
      <alignment horizontal="center" shrinkToFit="1"/>
    </xf>
    <xf numFmtId="0" fontId="2" fillId="0" borderId="60" xfId="0" applyFont="1" applyBorder="1" applyAlignment="1">
      <alignment horizontal="center" shrinkToFit="1"/>
    </xf>
    <xf numFmtId="178" fontId="0" fillId="0" borderId="79" xfId="0" applyNumberFormat="1" applyBorder="1" applyAlignment="1">
      <alignment horizontal="center"/>
    </xf>
    <xf numFmtId="0" fontId="9" fillId="0" borderId="0" xfId="87" applyFont="1" applyAlignment="1">
      <alignment horizontal="center"/>
      <protection/>
    </xf>
    <xf numFmtId="0" fontId="9" fillId="0" borderId="0" xfId="87" applyAlignment="1">
      <alignment horizontal="center"/>
      <protection/>
    </xf>
    <xf numFmtId="1" fontId="9" fillId="0" borderId="0" xfId="87" applyNumberFormat="1" applyAlignment="1">
      <alignment horizontal="center"/>
      <protection/>
    </xf>
    <xf numFmtId="0" fontId="9" fillId="0" borderId="24" xfId="87" applyFont="1" applyBorder="1" applyAlignment="1">
      <alignment horizontal="center"/>
      <protection/>
    </xf>
    <xf numFmtId="178" fontId="9" fillId="0" borderId="0" xfId="87" applyNumberFormat="1" applyFill="1" applyBorder="1" applyAlignment="1">
      <alignment horizontal="center" shrinkToFit="1"/>
      <protection/>
    </xf>
    <xf numFmtId="178" fontId="9" fillId="0" borderId="28" xfId="87" applyNumberFormat="1" applyFill="1" applyBorder="1" applyAlignment="1">
      <alignment horizontal="center" shrinkToFit="1"/>
      <protection/>
    </xf>
    <xf numFmtId="178" fontId="9" fillId="0" borderId="28" xfId="87" applyNumberFormat="1" applyBorder="1" applyAlignment="1">
      <alignment horizontal="center" shrinkToFit="1"/>
      <protection/>
    </xf>
    <xf numFmtId="180" fontId="9" fillId="0" borderId="0" xfId="87" applyNumberFormat="1" applyFill="1" applyAlignment="1">
      <alignment horizontal="center" shrinkToFit="1"/>
      <protection/>
    </xf>
    <xf numFmtId="0" fontId="56" fillId="0" borderId="0" xfId="87" applyFont="1">
      <alignment/>
      <protection/>
    </xf>
    <xf numFmtId="0" fontId="56" fillId="0" borderId="72" xfId="87" applyFont="1" applyBorder="1" applyAlignment="1">
      <alignment/>
      <protection/>
    </xf>
    <xf numFmtId="178" fontId="56" fillId="0" borderId="26" xfId="87" applyNumberFormat="1" applyFont="1" applyFill="1" applyBorder="1" applyAlignment="1">
      <alignment shrinkToFit="1"/>
      <protection/>
    </xf>
    <xf numFmtId="0" fontId="2" fillId="0" borderId="73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73" xfId="0" applyFont="1" applyBorder="1" applyAlignment="1">
      <alignment horizontal="center" shrinkToFit="1"/>
    </xf>
    <xf numFmtId="0" fontId="2" fillId="0" borderId="80" xfId="0" applyFont="1" applyBorder="1" applyAlignment="1">
      <alignment horizontal="center" shrinkToFit="1"/>
    </xf>
    <xf numFmtId="0" fontId="0" fillId="0" borderId="51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0" fillId="0" borderId="51" xfId="0" applyFont="1" applyBorder="1" applyAlignment="1">
      <alignment horizontal="left" shrinkToFit="1"/>
    </xf>
    <xf numFmtId="0" fontId="0" fillId="0" borderId="19" xfId="0" applyFont="1" applyBorder="1" applyAlignment="1">
      <alignment horizontal="left" shrinkToFit="1"/>
    </xf>
    <xf numFmtId="0" fontId="0" fillId="0" borderId="51" xfId="0" applyFont="1" applyFill="1" applyBorder="1" applyAlignment="1">
      <alignment horizontal="left" shrinkToFit="1"/>
    </xf>
    <xf numFmtId="0" fontId="0" fillId="0" borderId="19" xfId="0" applyFont="1" applyFill="1" applyBorder="1" applyAlignment="1">
      <alignment horizontal="left" shrinkToFit="1"/>
    </xf>
    <xf numFmtId="0" fontId="0" fillId="0" borderId="51" xfId="0" applyFill="1" applyBorder="1" applyAlignment="1">
      <alignment horizontal="left" shrinkToFit="1"/>
    </xf>
    <xf numFmtId="0" fontId="0" fillId="0" borderId="19" xfId="0" applyFill="1" applyBorder="1" applyAlignment="1">
      <alignment horizontal="left" shrinkToFit="1"/>
    </xf>
    <xf numFmtId="182" fontId="4" fillId="0" borderId="0" xfId="0" applyNumberFormat="1" applyFont="1" applyAlignment="1">
      <alignment horizontal="left"/>
    </xf>
    <xf numFmtId="0" fontId="0" fillId="0" borderId="61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wrapText="1" shrinkToFit="1"/>
    </xf>
    <xf numFmtId="0" fontId="0" fillId="0" borderId="82" xfId="0" applyFont="1" applyBorder="1" applyAlignment="1">
      <alignment horizontal="center" vertical="center" wrapText="1" shrinkToFit="1"/>
    </xf>
    <xf numFmtId="0" fontId="0" fillId="0" borderId="79" xfId="0" applyFont="1" applyBorder="1" applyAlignment="1">
      <alignment horizontal="center" vertical="center" wrapText="1" shrinkToFit="1"/>
    </xf>
    <xf numFmtId="0" fontId="0" fillId="0" borderId="44" xfId="0" applyFont="1" applyBorder="1" applyAlignment="1">
      <alignment horizontal="center" shrinkToFit="1"/>
    </xf>
    <xf numFmtId="0" fontId="0" fillId="0" borderId="63" xfId="0" applyFont="1" applyBorder="1" applyAlignment="1">
      <alignment horizontal="center" shrinkToFit="1"/>
    </xf>
    <xf numFmtId="0" fontId="0" fillId="0" borderId="83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wrapText="1" shrinkToFit="1"/>
    </xf>
    <xf numFmtId="0" fontId="0" fillId="0" borderId="82" xfId="0" applyFont="1" applyBorder="1" applyAlignment="1">
      <alignment horizontal="center" wrapText="1" shrinkToFit="1"/>
    </xf>
    <xf numFmtId="0" fontId="0" fillId="0" borderId="85" xfId="0" applyFont="1" applyBorder="1" applyAlignment="1">
      <alignment horizontal="center" wrapText="1" shrinkToFit="1"/>
    </xf>
    <xf numFmtId="0" fontId="2" fillId="0" borderId="86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0" fillId="0" borderId="46" xfId="0" applyBorder="1" applyAlignment="1">
      <alignment horizontal="left" shrinkToFit="1"/>
    </xf>
    <xf numFmtId="0" fontId="0" fillId="0" borderId="48" xfId="0" applyBorder="1" applyAlignment="1">
      <alignment horizontal="left" shrinkToFit="1"/>
    </xf>
    <xf numFmtId="0" fontId="0" fillId="0" borderId="37" xfId="0" applyFont="1" applyFill="1" applyBorder="1" applyAlignment="1">
      <alignment horizontal="center" shrinkToFit="1"/>
    </xf>
    <xf numFmtId="0" fontId="8" fillId="0" borderId="37" xfId="0" applyFont="1" applyBorder="1" applyAlignment="1">
      <alignment horizontal="center" shrinkToFi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rmal 2" xfId="86"/>
    <cellStyle name="Normal_Pasta2(1)" xfId="87"/>
    <cellStyle name="Nota" xfId="88"/>
    <cellStyle name="Note" xfId="89"/>
    <cellStyle name="Output" xfId="90"/>
    <cellStyle name="Percent" xfId="91"/>
    <cellStyle name="Porcentagem 2" xfId="92"/>
    <cellStyle name="Saída" xfId="93"/>
    <cellStyle name="Comma [0]" xfId="94"/>
    <cellStyle name="Texto de Aviso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ítulo 4" xfId="102"/>
    <cellStyle name="Total" xfId="103"/>
    <cellStyle name="Comma" xfId="104"/>
    <cellStyle name="Warning Text" xfId="105"/>
  </cellStyles>
  <dxfs count="9"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48"/>
        </patternFill>
      </fill>
    </dxf>
    <dxf>
      <font>
        <color indexed="9"/>
      </font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2125"/>
          <c:w val="0.95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JAN_2010!$R$19:$R$32</c:f>
              <c:strCache/>
            </c:strRef>
          </c:cat>
          <c:val>
            <c:numRef>
              <c:f>JAN_2010!$S$19:$S$32</c:f>
              <c:numCache/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"/>
          <c:y val="0.90375"/>
          <c:w val="0.172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975"/>
          <c:w val="0.972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OUT_2010!$R$19:$R$32</c:f>
              <c:strCache/>
            </c:strRef>
          </c:cat>
          <c:val>
            <c:numRef>
              <c:f>OUT_2010!$S$19:$S$32</c:f>
              <c:numCache/>
            </c:numRef>
          </c:val>
        </c:ser>
        <c:axId val="21894832"/>
        <c:axId val="62835761"/>
      </c:bar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948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125"/>
          <c:y val="0.88275"/>
          <c:w val="0.16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975"/>
          <c:w val="0.972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NOV_2010!$R$19:$R$32</c:f>
              <c:strCache/>
            </c:strRef>
          </c:cat>
          <c:val>
            <c:numRef>
              <c:f>NOV_2010!$S$19:$S$32</c:f>
              <c:numCache/>
            </c:numRef>
          </c:val>
        </c:ser>
        <c:axId val="28650938"/>
        <c:axId val="56531851"/>
      </c:bar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31851"/>
        <c:crosses val="autoZero"/>
        <c:auto val="1"/>
        <c:lblOffset val="100"/>
        <c:tickLblSkip val="1"/>
        <c:noMultiLvlLbl val="0"/>
      </c:catAx>
      <c:valAx>
        <c:axId val="56531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093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125"/>
          <c:y val="0.8955"/>
          <c:w val="0.16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975"/>
          <c:w val="0.972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DEZ_2010!$R$19:$R$32</c:f>
              <c:strCache/>
            </c:strRef>
          </c:cat>
          <c:val>
            <c:numRef>
              <c:f>DEZ_2010!$S$19:$S$32</c:f>
              <c:numCache/>
            </c:numRef>
          </c:val>
        </c:ser>
        <c:axId val="39024612"/>
        <c:axId val="15677189"/>
      </c:bar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7189"/>
        <c:crosses val="autoZero"/>
        <c:auto val="1"/>
        <c:lblOffset val="100"/>
        <c:tickLblSkip val="1"/>
        <c:noMultiLvlLbl val="0"/>
      </c:catAx>
      <c:valAx>
        <c:axId val="15677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46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"/>
          <c:y val="0.887"/>
          <c:w val="0.16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225"/>
          <c:y val="0.134"/>
          <c:w val="0.967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RESUMO!$G$20</c:f>
              <c:strCache>
                <c:ptCount val="1"/>
                <c:pt idx="0">
                  <c:v>VESTUARIO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RESUMO!$F$22:$F$33</c:f>
              <c:strCache/>
            </c:strRef>
          </c:cat>
          <c:val>
            <c:numRef>
              <c:f>RESUMO!$G$22:$G$33</c:f>
              <c:numCache/>
            </c:numRef>
          </c:val>
        </c:ser>
        <c:axId val="6876974"/>
        <c:axId val="61892767"/>
      </c:barChart>
      <c:dateAx>
        <c:axId val="68769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276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892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6974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4"/>
          <c:y val="0.929"/>
          <c:w val="0.148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475"/>
          <c:w val="0.820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RESUMO!$C$3</c:f>
              <c:strCache>
                <c:ptCount val="1"/>
                <c:pt idx="0">
                  <c:v>VESTUARIO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RESUMO!$C$18</c:f>
              <c:numCache/>
            </c:numRef>
          </c:val>
        </c:ser>
        <c:ser>
          <c:idx val="1"/>
          <c:order val="1"/>
          <c:tx>
            <c:strRef>
              <c:f>RESUMO!$D$3</c:f>
              <c:strCache>
                <c:ptCount val="1"/>
                <c:pt idx="0">
                  <c:v>LAZER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RESUMO!$D$18</c:f>
              <c:numCache/>
            </c:numRef>
          </c:val>
        </c:ser>
        <c:ser>
          <c:idx val="2"/>
          <c:order val="2"/>
          <c:tx>
            <c:strRef>
              <c:f>RESUMO!$E$3</c:f>
              <c:strCache>
                <c:ptCount val="1"/>
                <c:pt idx="0">
                  <c:v>EDUCAÇÃO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RESUMO!$E$18</c:f>
              <c:numCache/>
            </c:numRef>
          </c:val>
        </c:ser>
        <c:ser>
          <c:idx val="3"/>
          <c:order val="3"/>
          <c:tx>
            <c:strRef>
              <c:f>RESUMO!$F$3</c:f>
              <c:strCache>
                <c:ptCount val="1"/>
                <c:pt idx="0">
                  <c:v>INVESTIMENTO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RESUMO!$F$18</c:f>
              <c:numCache/>
            </c:numRef>
          </c:val>
        </c:ser>
        <c:ser>
          <c:idx val="4"/>
          <c:order val="4"/>
          <c:tx>
            <c:strRef>
              <c:f>RESUMO!$G$3</c:f>
              <c:strCache>
                <c:ptCount val="1"/>
                <c:pt idx="0">
                  <c:v>MORADIA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RESUMO!$G$18</c:f>
              <c:numCache/>
            </c:numRef>
          </c:val>
        </c:ser>
        <c:ser>
          <c:idx val="5"/>
          <c:order val="5"/>
          <c:tx>
            <c:strRef>
              <c:f>RESUMO!$H$3</c:f>
              <c:strCache>
                <c:ptCount val="1"/>
                <c:pt idx="0">
                  <c:v>TRANSPORTE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RESUMO!$H$18</c:f>
              <c:numCache/>
            </c:numRef>
          </c:val>
        </c:ser>
        <c:ser>
          <c:idx val="6"/>
          <c:order val="6"/>
          <c:tx>
            <c:strRef>
              <c:f>RESUMO!$I$3</c:f>
              <c:strCache>
                <c:ptCount val="1"/>
                <c:pt idx="0">
                  <c:v>ALIMENTAÇÃO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RESUMO!$I$18</c:f>
              <c:numCache/>
            </c:numRef>
          </c:val>
        </c:ser>
        <c:ser>
          <c:idx val="7"/>
          <c:order val="7"/>
          <c:tx>
            <c:strRef>
              <c:f>RESUMO!$J$3</c:f>
              <c:strCache>
                <c:ptCount val="1"/>
                <c:pt idx="0">
                  <c:v>TELEFONIA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RESUMO!$J$18</c:f>
              <c:numCache/>
            </c:numRef>
          </c:val>
        </c:ser>
        <c:ser>
          <c:idx val="8"/>
          <c:order val="8"/>
          <c:tx>
            <c:strRef>
              <c:f>RESUMO!$K$3</c:f>
              <c:strCache>
                <c:ptCount val="1"/>
                <c:pt idx="0">
                  <c:v>DEPENDENTES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RESUMO!$K$18</c:f>
              <c:numCache/>
            </c:numRef>
          </c:val>
        </c:ser>
        <c:ser>
          <c:idx val="9"/>
          <c:order val="9"/>
          <c:tx>
            <c:strRef>
              <c:f>RESUMO!$L$3</c:f>
              <c:strCache>
                <c:ptCount val="1"/>
                <c:pt idx="0">
                  <c:v>SAUDE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RESUMO!$L$18</c:f>
              <c:numCache/>
            </c:numRef>
          </c:val>
        </c:ser>
        <c:ser>
          <c:idx val="10"/>
          <c:order val="10"/>
          <c:tx>
            <c:strRef>
              <c:f>RESUMO!$M$3</c:f>
              <c:strCache>
                <c:ptCount val="1"/>
                <c:pt idx="0">
                  <c:v>GESTÃO CONTAS PAI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RESUMO!$M$18</c:f>
              <c:numCache/>
            </c:numRef>
          </c:val>
        </c:ser>
        <c:ser>
          <c:idx val="11"/>
          <c:order val="11"/>
          <c:tx>
            <c:strRef>
              <c:f>RESUMO!$N$3</c:f>
              <c:strCache>
                <c:ptCount val="1"/>
                <c:pt idx="0">
                  <c:v>MANUTENÇÃO CARRO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RESUMO!$N$18</c:f>
              <c:numCache/>
            </c:numRef>
          </c:val>
        </c:ser>
        <c:ser>
          <c:idx val="12"/>
          <c:order val="12"/>
          <c:tx>
            <c:strRef>
              <c:f>RESUMO!$O$3</c:f>
              <c:strCache>
                <c:ptCount val="1"/>
                <c:pt idx="0">
                  <c:v>DATAS COMEMORATIVAS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RESUMO!$O$18</c:f>
              <c:numCache/>
            </c:numRef>
          </c:val>
        </c:ser>
        <c:ser>
          <c:idx val="13"/>
          <c:order val="13"/>
          <c:tx>
            <c:strRef>
              <c:f>RESUMO!$P$3</c:f>
              <c:strCache>
                <c:ptCount val="1"/>
                <c:pt idx="0">
                  <c:v>INDEFINIDO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RESUMO!$P$18</c:f>
              <c:numCache/>
            </c:numRef>
          </c:val>
        </c:ser>
        <c:axId val="20163992"/>
        <c:axId val="47258201"/>
      </c:bar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1095"/>
          <c:w val="0.1585"/>
          <c:h val="0.7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1975"/>
          <c:w val="0.958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FEV_2010!$R$18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FEV_2010!$R$19:$R$32</c:f>
              <c:strCache/>
            </c:strRef>
          </c:cat>
          <c:val>
            <c:numRef>
              <c:f>FEV_2010!$S$19:$S$32</c:f>
              <c:numCache/>
            </c:numRef>
          </c:val>
        </c:ser>
        <c:axId val="40672"/>
        <c:axId val="366049"/>
      </c:bar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35"/>
          <c:y val="0.87025"/>
          <c:w val="0.16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2325"/>
          <c:w val="0.972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MAR_2010!$R$19:$R$32</c:f>
              <c:strCache/>
            </c:strRef>
          </c:cat>
          <c:val>
            <c:numRef>
              <c:f>MAR_2010!$S$19:$S$32</c:f>
              <c:numCache/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44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"/>
          <c:y val="0.878"/>
          <c:w val="0.1697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975"/>
          <c:w val="0.972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ABR_2010!$R$19:$R$32</c:f>
              <c:strCache/>
            </c:strRef>
          </c:cat>
          <c:val>
            <c:numRef>
              <c:f>ABR_2010!$S$19:$S$32</c:f>
              <c:numCache/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32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887"/>
          <c:w val="0.16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975"/>
          <c:w val="0.972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MAI_2010!$R$19:$R$32</c:f>
              <c:strCache/>
            </c:strRef>
          </c:cat>
          <c:val>
            <c:numRef>
              <c:f>MAI_2010!$S$19:$S$32</c:f>
              <c:numCache/>
            </c:numRef>
          </c:val>
        </c:ser>
        <c:axId val="5780574"/>
        <c:axId val="52025167"/>
      </c:bar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5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"/>
          <c:y val="0.87875"/>
          <c:w val="0.16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975"/>
          <c:w val="0.972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JUN_2010!$R$19:$R$32</c:f>
              <c:strCache/>
            </c:strRef>
          </c:cat>
          <c:val>
            <c:numRef>
              <c:f>JUN_2010!$S$19:$S$32</c:f>
              <c:numCache/>
            </c:numRef>
          </c:val>
        </c:ser>
        <c:axId val="65573320"/>
        <c:axId val="53288969"/>
      </c:bar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33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725"/>
          <c:y val="0.88275"/>
          <c:w val="0.16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975"/>
          <c:w val="0.972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JUL_2010!$R$19:$R$32</c:f>
              <c:strCache/>
            </c:strRef>
          </c:cat>
          <c:val>
            <c:numRef>
              <c:f>JUL_2010!$S$19:$S$32</c:f>
              <c:numCache/>
            </c:numRef>
          </c:val>
        </c:ser>
        <c:axId val="9838674"/>
        <c:axId val="21439203"/>
      </c:bar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86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"/>
          <c:y val="0.8955"/>
          <c:w val="0.16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975"/>
          <c:w val="0.972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AGO_2010!$R$19:$R$32</c:f>
              <c:strCache/>
            </c:strRef>
          </c:cat>
          <c:val>
            <c:numRef>
              <c:f>AGO_2010!$S$19:$S$32</c:f>
              <c:numCache/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351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75"/>
          <c:y val="0.887"/>
          <c:w val="0.16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GESTÃO CUSTO MENSAL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1975"/>
          <c:w val="0.972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SET_2010!$R$18</c:f>
              <c:strCache>
                <c:ptCount val="1"/>
                <c:pt idx="0">
                  <c:v>CATEGORIA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SET_2010!$R$19:$R$32</c:f>
              <c:strCache/>
            </c:strRef>
          </c:cat>
          <c:val>
            <c:numRef>
              <c:f>SET_2010!$S$19:$S$32</c:f>
              <c:numCache/>
            </c:numRef>
          </c:val>
        </c:ser>
        <c:axId val="59922630"/>
        <c:axId val="2432759"/>
      </c:bar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26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75"/>
          <c:y val="0.88275"/>
          <c:w val="0.16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32</xdr:row>
      <xdr:rowOff>47625</xdr:rowOff>
    </xdr:from>
    <xdr:to>
      <xdr:col>19</xdr:col>
      <xdr:colOff>28575</xdr:colOff>
      <xdr:row>46</xdr:row>
      <xdr:rowOff>142875</xdr:rowOff>
    </xdr:to>
    <xdr:graphicFrame>
      <xdr:nvGraphicFramePr>
        <xdr:cNvPr id="1" name="Chart 14"/>
        <xdr:cNvGraphicFramePr/>
      </xdr:nvGraphicFramePr>
      <xdr:xfrm>
        <a:off x="7143750" y="52101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0</xdr:rowOff>
    </xdr:from>
    <xdr:to>
      <xdr:col>19</xdr:col>
      <xdr:colOff>0</xdr:colOff>
      <xdr:row>46</xdr:row>
      <xdr:rowOff>95250</xdr:rowOff>
    </xdr:to>
    <xdr:graphicFrame>
      <xdr:nvGraphicFramePr>
        <xdr:cNvPr id="1" name="Chart 14"/>
        <xdr:cNvGraphicFramePr/>
      </xdr:nvGraphicFramePr>
      <xdr:xfrm>
        <a:off x="7143750" y="5162550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32</xdr:row>
      <xdr:rowOff>57150</xdr:rowOff>
    </xdr:from>
    <xdr:to>
      <xdr:col>18</xdr:col>
      <xdr:colOff>733425</xdr:colOff>
      <xdr:row>46</xdr:row>
      <xdr:rowOff>152400</xdr:rowOff>
    </xdr:to>
    <xdr:graphicFrame>
      <xdr:nvGraphicFramePr>
        <xdr:cNvPr id="1" name="Chart 14"/>
        <xdr:cNvGraphicFramePr/>
      </xdr:nvGraphicFramePr>
      <xdr:xfrm>
        <a:off x="7134225" y="5219700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76200</xdr:rowOff>
    </xdr:from>
    <xdr:to>
      <xdr:col>19</xdr:col>
      <xdr:colOff>0</xdr:colOff>
      <xdr:row>47</xdr:row>
      <xdr:rowOff>0</xdr:rowOff>
    </xdr:to>
    <xdr:graphicFrame>
      <xdr:nvGraphicFramePr>
        <xdr:cNvPr id="1" name="Chart 14"/>
        <xdr:cNvGraphicFramePr/>
      </xdr:nvGraphicFramePr>
      <xdr:xfrm>
        <a:off x="7143750" y="5238750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20</xdr:row>
      <xdr:rowOff>28575</xdr:rowOff>
    </xdr:from>
    <xdr:to>
      <xdr:col>17</xdr:col>
      <xdr:colOff>419100</xdr:colOff>
      <xdr:row>41</xdr:row>
      <xdr:rowOff>28575</xdr:rowOff>
    </xdr:to>
    <xdr:graphicFrame>
      <xdr:nvGraphicFramePr>
        <xdr:cNvPr id="1" name="Chart 17"/>
        <xdr:cNvGraphicFramePr/>
      </xdr:nvGraphicFramePr>
      <xdr:xfrm>
        <a:off x="6115050" y="3457575"/>
        <a:ext cx="55435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43</xdr:row>
      <xdr:rowOff>152400</xdr:rowOff>
    </xdr:from>
    <xdr:to>
      <xdr:col>17</xdr:col>
      <xdr:colOff>152400</xdr:colOff>
      <xdr:row>68</xdr:row>
      <xdr:rowOff>19050</xdr:rowOff>
    </xdr:to>
    <xdr:graphicFrame>
      <xdr:nvGraphicFramePr>
        <xdr:cNvPr id="2" name="Chart 18"/>
        <xdr:cNvGraphicFramePr/>
      </xdr:nvGraphicFramePr>
      <xdr:xfrm>
        <a:off x="314325" y="7210425"/>
        <a:ext cx="110775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32</xdr:row>
      <xdr:rowOff>28575</xdr:rowOff>
    </xdr:from>
    <xdr:to>
      <xdr:col>18</xdr:col>
      <xdr:colOff>733425</xdr:colOff>
      <xdr:row>46</xdr:row>
      <xdr:rowOff>123825</xdr:rowOff>
    </xdr:to>
    <xdr:graphicFrame>
      <xdr:nvGraphicFramePr>
        <xdr:cNvPr id="1" name="Chart 14"/>
        <xdr:cNvGraphicFramePr/>
      </xdr:nvGraphicFramePr>
      <xdr:xfrm>
        <a:off x="7134225" y="519112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19050</xdr:rowOff>
    </xdr:from>
    <xdr:to>
      <xdr:col>19</xdr:col>
      <xdr:colOff>0</xdr:colOff>
      <xdr:row>47</xdr:row>
      <xdr:rowOff>9525</xdr:rowOff>
    </xdr:to>
    <xdr:graphicFrame>
      <xdr:nvGraphicFramePr>
        <xdr:cNvPr id="1" name="Chart 14"/>
        <xdr:cNvGraphicFramePr/>
      </xdr:nvGraphicFramePr>
      <xdr:xfrm>
        <a:off x="7143750" y="5181600"/>
        <a:ext cx="4572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66675</xdr:rowOff>
    </xdr:from>
    <xdr:to>
      <xdr:col>19</xdr:col>
      <xdr:colOff>0</xdr:colOff>
      <xdr:row>46</xdr:row>
      <xdr:rowOff>161925</xdr:rowOff>
    </xdr:to>
    <xdr:graphicFrame>
      <xdr:nvGraphicFramePr>
        <xdr:cNvPr id="1" name="Chart 14"/>
        <xdr:cNvGraphicFramePr/>
      </xdr:nvGraphicFramePr>
      <xdr:xfrm>
        <a:off x="7143750" y="522922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66675</xdr:rowOff>
    </xdr:from>
    <xdr:to>
      <xdr:col>19</xdr:col>
      <xdr:colOff>0</xdr:colOff>
      <xdr:row>46</xdr:row>
      <xdr:rowOff>161925</xdr:rowOff>
    </xdr:to>
    <xdr:graphicFrame>
      <xdr:nvGraphicFramePr>
        <xdr:cNvPr id="1" name="Chart 14"/>
        <xdr:cNvGraphicFramePr/>
      </xdr:nvGraphicFramePr>
      <xdr:xfrm>
        <a:off x="7143750" y="522922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47625</xdr:rowOff>
    </xdr:from>
    <xdr:to>
      <xdr:col>19</xdr:col>
      <xdr:colOff>0</xdr:colOff>
      <xdr:row>46</xdr:row>
      <xdr:rowOff>142875</xdr:rowOff>
    </xdr:to>
    <xdr:graphicFrame>
      <xdr:nvGraphicFramePr>
        <xdr:cNvPr id="1" name="Chart 14"/>
        <xdr:cNvGraphicFramePr/>
      </xdr:nvGraphicFramePr>
      <xdr:xfrm>
        <a:off x="7143750" y="52101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66675</xdr:rowOff>
    </xdr:from>
    <xdr:to>
      <xdr:col>19</xdr:col>
      <xdr:colOff>0</xdr:colOff>
      <xdr:row>46</xdr:row>
      <xdr:rowOff>161925</xdr:rowOff>
    </xdr:to>
    <xdr:graphicFrame>
      <xdr:nvGraphicFramePr>
        <xdr:cNvPr id="1" name="Chart 14"/>
        <xdr:cNvGraphicFramePr/>
      </xdr:nvGraphicFramePr>
      <xdr:xfrm>
        <a:off x="7143750" y="522922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57150</xdr:rowOff>
    </xdr:from>
    <xdr:to>
      <xdr:col>19</xdr:col>
      <xdr:colOff>0</xdr:colOff>
      <xdr:row>46</xdr:row>
      <xdr:rowOff>152400</xdr:rowOff>
    </xdr:to>
    <xdr:graphicFrame>
      <xdr:nvGraphicFramePr>
        <xdr:cNvPr id="1" name="Chart 14"/>
        <xdr:cNvGraphicFramePr/>
      </xdr:nvGraphicFramePr>
      <xdr:xfrm>
        <a:off x="7143750" y="5219700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32</xdr:row>
      <xdr:rowOff>85725</xdr:rowOff>
    </xdr:from>
    <xdr:to>
      <xdr:col>18</xdr:col>
      <xdr:colOff>733425</xdr:colOff>
      <xdr:row>47</xdr:row>
      <xdr:rowOff>9525</xdr:rowOff>
    </xdr:to>
    <xdr:graphicFrame>
      <xdr:nvGraphicFramePr>
        <xdr:cNvPr id="1" name="Chart 14"/>
        <xdr:cNvGraphicFramePr/>
      </xdr:nvGraphicFramePr>
      <xdr:xfrm>
        <a:off x="7134225" y="52482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3"/>
  <dimension ref="B2:F94"/>
  <sheetViews>
    <sheetView showGridLines="0" showZeros="0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140625" style="21" customWidth="1"/>
    <col min="2" max="2" width="13.28125" style="21" bestFit="1" customWidth="1"/>
    <col min="3" max="3" width="12.421875" style="21" bestFit="1" customWidth="1"/>
    <col min="4" max="4" width="10.7109375" style="155" bestFit="1" customWidth="1"/>
    <col min="5" max="5" width="12.421875" style="155" bestFit="1" customWidth="1"/>
    <col min="6" max="6" width="13.140625" style="21" customWidth="1"/>
    <col min="7" max="16384" width="9.140625" style="21" customWidth="1"/>
  </cols>
  <sheetData>
    <row r="2" spans="2:5" ht="15">
      <c r="B2" s="162" t="s">
        <v>141</v>
      </c>
      <c r="C2" s="33"/>
      <c r="D2" s="154"/>
      <c r="E2" s="154"/>
    </row>
    <row r="3" ht="15">
      <c r="E3" s="156"/>
    </row>
    <row r="4" ht="15">
      <c r="E4" s="156"/>
    </row>
    <row r="5" spans="2:6" ht="15">
      <c r="B5" s="163" t="s">
        <v>2</v>
      </c>
      <c r="C5" s="22"/>
      <c r="D5" s="157" t="s">
        <v>137</v>
      </c>
      <c r="E5" s="157" t="s">
        <v>66</v>
      </c>
      <c r="F5" s="23"/>
    </row>
    <row r="6" spans="2:6" ht="15">
      <c r="B6" s="24"/>
      <c r="C6" s="25"/>
      <c r="D6" s="158">
        <f>JAN_2010!$R$5</f>
        <v>1890</v>
      </c>
      <c r="E6" s="158">
        <f>JAN_2010!$G$5</f>
        <v>864.3</v>
      </c>
      <c r="F6" s="27"/>
    </row>
    <row r="7" spans="2:6" ht="15">
      <c r="B7" s="36"/>
      <c r="C7" s="25"/>
      <c r="D7" s="158"/>
      <c r="E7" s="21"/>
      <c r="F7" s="27"/>
    </row>
    <row r="8" spans="2:6" ht="15">
      <c r="B8" s="36" t="s">
        <v>106</v>
      </c>
      <c r="C8" s="26">
        <f>SUMIF(JAN_2010!C21:C47,BASE!B8,JAN_2010!G7:G47)</f>
        <v>0</v>
      </c>
      <c r="D8" s="158"/>
      <c r="E8" s="21"/>
      <c r="F8" s="35"/>
    </row>
    <row r="9" spans="2:6" ht="15">
      <c r="B9" s="36" t="s">
        <v>138</v>
      </c>
      <c r="C9" s="34">
        <f>D6-E6</f>
        <v>1025.7</v>
      </c>
      <c r="D9" s="158"/>
      <c r="E9" s="158"/>
      <c r="F9" s="27"/>
    </row>
    <row r="10" spans="2:6" ht="15">
      <c r="B10" s="28">
        <f>SUM(B6:B9)</f>
        <v>0</v>
      </c>
      <c r="C10" s="29"/>
      <c r="D10" s="159"/>
      <c r="E10" s="160"/>
      <c r="F10" s="30"/>
    </row>
    <row r="11" spans="3:6" ht="15">
      <c r="C11" s="31"/>
      <c r="D11" s="161"/>
      <c r="E11" s="156"/>
      <c r="F11" s="32"/>
    </row>
    <row r="12" spans="2:6" ht="15">
      <c r="B12" s="163" t="s">
        <v>41</v>
      </c>
      <c r="C12" s="22"/>
      <c r="D12" s="157" t="s">
        <v>137</v>
      </c>
      <c r="E12" s="157" t="s">
        <v>66</v>
      </c>
      <c r="F12" s="23"/>
    </row>
    <row r="13" spans="2:6" ht="15">
      <c r="B13" s="24"/>
      <c r="C13" s="25"/>
      <c r="D13" s="158">
        <f>FEV_2010!$R$5</f>
        <v>1977.24</v>
      </c>
      <c r="E13" s="158">
        <f>FEV_2010!$G$5</f>
        <v>2240.94</v>
      </c>
      <c r="F13" s="27"/>
    </row>
    <row r="14" spans="2:6" ht="15">
      <c r="B14" s="24"/>
      <c r="C14" s="25"/>
      <c r="D14" s="158"/>
      <c r="E14" s="21"/>
      <c r="F14" s="27"/>
    </row>
    <row r="15" spans="2:6" ht="15">
      <c r="B15" s="36" t="s">
        <v>106</v>
      </c>
      <c r="C15" s="26">
        <f>SUMIF(JAN_2010!C29:C55,BASE!B15,JAN_2010!G15:G55)</f>
        <v>0</v>
      </c>
      <c r="D15" s="158"/>
      <c r="E15" s="21"/>
      <c r="F15" s="35"/>
    </row>
    <row r="16" spans="2:6" ht="15">
      <c r="B16" s="36" t="s">
        <v>138</v>
      </c>
      <c r="C16" s="34">
        <f>D13-E13+C9</f>
        <v>762</v>
      </c>
      <c r="D16" s="158"/>
      <c r="E16" s="158"/>
      <c r="F16" s="27"/>
    </row>
    <row r="17" spans="2:6" ht="15">
      <c r="B17" s="28">
        <f>SUM(B13:B16)</f>
        <v>0</v>
      </c>
      <c r="C17" s="29"/>
      <c r="D17" s="159"/>
      <c r="E17" s="160"/>
      <c r="F17" s="30"/>
    </row>
    <row r="18" spans="3:6" ht="15">
      <c r="C18" s="31"/>
      <c r="D18" s="161"/>
      <c r="E18" s="156"/>
      <c r="F18" s="32"/>
    </row>
    <row r="19" spans="2:6" ht="15">
      <c r="B19" s="163" t="s">
        <v>45</v>
      </c>
      <c r="C19" s="22"/>
      <c r="D19" s="157" t="s">
        <v>137</v>
      </c>
      <c r="E19" s="157" t="s">
        <v>66</v>
      </c>
      <c r="F19" s="23"/>
    </row>
    <row r="20" spans="2:6" ht="15">
      <c r="B20" s="24"/>
      <c r="C20" s="25"/>
      <c r="D20" s="158">
        <f>MAR_2010!$R$5</f>
        <v>1977.24</v>
      </c>
      <c r="E20" s="158">
        <f>MAR_2010!$G$5</f>
        <v>2966.04</v>
      </c>
      <c r="F20" s="27"/>
    </row>
    <row r="21" spans="2:6" ht="15">
      <c r="B21" s="24"/>
      <c r="C21" s="25"/>
      <c r="D21" s="158"/>
      <c r="E21" s="21"/>
      <c r="F21" s="27"/>
    </row>
    <row r="22" spans="2:6" ht="15">
      <c r="B22" s="36" t="s">
        <v>106</v>
      </c>
      <c r="C22" s="26">
        <f>SUMIF(JAN_2010!C36:C62,BASE!B22,JAN_2010!G22:G62)</f>
        <v>0</v>
      </c>
      <c r="D22" s="158"/>
      <c r="E22" s="21"/>
      <c r="F22" s="35"/>
    </row>
    <row r="23" spans="2:6" ht="15">
      <c r="B23" s="36" t="s">
        <v>138</v>
      </c>
      <c r="C23" s="34">
        <f>D20-E20+C16</f>
        <v>-226.79999999999995</v>
      </c>
      <c r="D23" s="158"/>
      <c r="E23" s="158"/>
      <c r="F23" s="27"/>
    </row>
    <row r="24" spans="2:6" ht="15">
      <c r="B24" s="28">
        <f>SUM(B20:B23)</f>
        <v>0</v>
      </c>
      <c r="C24" s="29"/>
      <c r="D24" s="159"/>
      <c r="E24" s="160"/>
      <c r="F24" s="30"/>
    </row>
    <row r="26" spans="2:6" ht="15">
      <c r="B26" s="163" t="s">
        <v>46</v>
      </c>
      <c r="C26" s="22"/>
      <c r="D26" s="157" t="s">
        <v>137</v>
      </c>
      <c r="E26" s="157" t="s">
        <v>66</v>
      </c>
      <c r="F26" s="23"/>
    </row>
    <row r="27" spans="2:6" ht="15">
      <c r="B27" s="24"/>
      <c r="C27" s="25"/>
      <c r="D27" s="158">
        <f>ABR_2010!$R$5</f>
        <v>1977.24</v>
      </c>
      <c r="E27" s="158">
        <f>ABR_2010!$G$5</f>
        <v>1973.8</v>
      </c>
      <c r="F27" s="27"/>
    </row>
    <row r="28" spans="2:6" ht="15">
      <c r="B28" s="24"/>
      <c r="C28" s="25"/>
      <c r="D28" s="158"/>
      <c r="E28" s="21"/>
      <c r="F28" s="27"/>
    </row>
    <row r="29" spans="2:6" ht="15">
      <c r="B29" s="36" t="s">
        <v>106</v>
      </c>
      <c r="C29" s="26">
        <f>SUMIF(JAN_2010!C43:C69,BASE!B29,JAN_2010!G29:G69)</f>
        <v>0</v>
      </c>
      <c r="D29" s="158"/>
      <c r="E29" s="21"/>
      <c r="F29" s="35"/>
    </row>
    <row r="30" spans="2:6" ht="15">
      <c r="B30" s="36" t="s">
        <v>138</v>
      </c>
      <c r="C30" s="34">
        <f>D27-E27+C23</f>
        <v>-223.3599999999999</v>
      </c>
      <c r="D30" s="158"/>
      <c r="E30" s="158"/>
      <c r="F30" s="27"/>
    </row>
    <row r="31" spans="2:6" ht="15">
      <c r="B31" s="28">
        <f>SUM(B27:B30)</f>
        <v>0</v>
      </c>
      <c r="C31" s="29"/>
      <c r="D31" s="159"/>
      <c r="E31" s="160"/>
      <c r="F31" s="30"/>
    </row>
    <row r="33" spans="2:6" ht="15">
      <c r="B33" s="163" t="s">
        <v>139</v>
      </c>
      <c r="C33" s="22"/>
      <c r="D33" s="157" t="s">
        <v>137</v>
      </c>
      <c r="E33" s="157" t="s">
        <v>66</v>
      </c>
      <c r="F33" s="23"/>
    </row>
    <row r="34" spans="2:6" ht="15">
      <c r="B34" s="24"/>
      <c r="C34" s="25"/>
      <c r="D34" s="158">
        <f>MAI_2010!$R$5</f>
        <v>1977.24</v>
      </c>
      <c r="E34" s="158">
        <f>MAI_2010!$G$5</f>
        <v>1973.8</v>
      </c>
      <c r="F34" s="27"/>
    </row>
    <row r="35" spans="2:6" ht="15">
      <c r="B35" s="24"/>
      <c r="C35" s="25"/>
      <c r="D35" s="158"/>
      <c r="E35" s="21"/>
      <c r="F35" s="27"/>
    </row>
    <row r="36" spans="2:6" ht="15">
      <c r="B36" s="36" t="s">
        <v>106</v>
      </c>
      <c r="C36" s="26">
        <f>SUMIF(JAN_2010!C50:C76,BASE!B36,JAN_2010!G36:G76)</f>
        <v>0</v>
      </c>
      <c r="D36" s="158"/>
      <c r="E36" s="21"/>
      <c r="F36" s="35"/>
    </row>
    <row r="37" spans="2:6" ht="15">
      <c r="B37" s="36" t="s">
        <v>138</v>
      </c>
      <c r="C37" s="34">
        <f>D34-E34+C30</f>
        <v>-219.91999999999985</v>
      </c>
      <c r="D37" s="158"/>
      <c r="E37" s="158"/>
      <c r="F37" s="27"/>
    </row>
    <row r="38" spans="2:6" ht="15">
      <c r="B38" s="28">
        <f>SUM(B34:B37)</f>
        <v>0</v>
      </c>
      <c r="C38" s="29"/>
      <c r="D38" s="159"/>
      <c r="E38" s="160"/>
      <c r="F38" s="30"/>
    </row>
    <row r="40" spans="2:6" ht="15">
      <c r="B40" s="163" t="s">
        <v>48</v>
      </c>
      <c r="C40" s="22"/>
      <c r="D40" s="157" t="s">
        <v>137</v>
      </c>
      <c r="E40" s="157" t="s">
        <v>66</v>
      </c>
      <c r="F40" s="23"/>
    </row>
    <row r="41" spans="2:6" ht="15">
      <c r="B41" s="164"/>
      <c r="C41" s="25"/>
      <c r="D41" s="158">
        <f>JUN_2010!$R$5</f>
        <v>1977.24</v>
      </c>
      <c r="E41" s="158">
        <f>JUN_2010!$G$5</f>
        <v>2003.8</v>
      </c>
      <c r="F41" s="27"/>
    </row>
    <row r="42" spans="2:6" ht="15">
      <c r="B42" s="24"/>
      <c r="C42" s="25"/>
      <c r="D42" s="158"/>
      <c r="E42" s="21"/>
      <c r="F42" s="27"/>
    </row>
    <row r="43" spans="2:6" ht="15">
      <c r="B43" s="36" t="s">
        <v>106</v>
      </c>
      <c r="C43" s="26">
        <f>SUMIF(JAN_2010!C57:C83,BASE!B43,JAN_2010!G43:G83)</f>
        <v>0</v>
      </c>
      <c r="D43" s="158"/>
      <c r="E43" s="21"/>
      <c r="F43" s="35"/>
    </row>
    <row r="44" spans="2:6" ht="15">
      <c r="B44" s="36" t="s">
        <v>138</v>
      </c>
      <c r="C44" s="34">
        <f>D41-E41+C37</f>
        <v>-246.4799999999998</v>
      </c>
      <c r="D44" s="158"/>
      <c r="E44" s="158"/>
      <c r="F44" s="27"/>
    </row>
    <row r="45" spans="2:6" ht="15">
      <c r="B45" s="28">
        <f>SUM(B41:B44)</f>
        <v>0</v>
      </c>
      <c r="C45" s="29"/>
      <c r="D45" s="159"/>
      <c r="E45" s="160"/>
      <c r="F45" s="30"/>
    </row>
    <row r="47" spans="2:6" ht="15">
      <c r="B47" s="163" t="s">
        <v>49</v>
      </c>
      <c r="C47" s="22"/>
      <c r="D47" s="157" t="s">
        <v>137</v>
      </c>
      <c r="E47" s="157" t="s">
        <v>66</v>
      </c>
      <c r="F47" s="23"/>
    </row>
    <row r="48" spans="2:6" ht="15">
      <c r="B48" s="24"/>
      <c r="C48" s="25"/>
      <c r="D48" s="158">
        <f>JUL_2010!$R$5</f>
        <v>1977.24</v>
      </c>
      <c r="E48" s="158">
        <f>JUL_2010!$G$5</f>
        <v>1983.8</v>
      </c>
      <c r="F48" s="27"/>
    </row>
    <row r="49" spans="2:6" ht="15">
      <c r="B49" s="24"/>
      <c r="C49" s="25"/>
      <c r="D49" s="158"/>
      <c r="E49" s="21"/>
      <c r="F49" s="27"/>
    </row>
    <row r="50" spans="2:6" ht="15">
      <c r="B50" s="36" t="s">
        <v>106</v>
      </c>
      <c r="C50" s="26">
        <f>SUMIF(JAN_2010!C64:C90,BASE!B50,JAN_2010!G50:G90)</f>
        <v>0</v>
      </c>
      <c r="D50" s="158"/>
      <c r="E50" s="21"/>
      <c r="F50" s="35"/>
    </row>
    <row r="51" spans="2:6" ht="15">
      <c r="B51" s="36" t="s">
        <v>138</v>
      </c>
      <c r="C51" s="34">
        <f>D48-E48+C44</f>
        <v>-253.03999999999974</v>
      </c>
      <c r="D51" s="158"/>
      <c r="E51" s="158"/>
      <c r="F51" s="27"/>
    </row>
    <row r="52" spans="2:6" ht="15">
      <c r="B52" s="28">
        <f>SUM(B48:B51)</f>
        <v>0</v>
      </c>
      <c r="C52" s="29"/>
      <c r="D52" s="159"/>
      <c r="E52" s="160"/>
      <c r="F52" s="30"/>
    </row>
    <row r="54" spans="2:6" ht="15">
      <c r="B54" s="163" t="s">
        <v>50</v>
      </c>
      <c r="C54" s="22"/>
      <c r="D54" s="157" t="s">
        <v>137</v>
      </c>
      <c r="E54" s="157" t="s">
        <v>66</v>
      </c>
      <c r="F54" s="23"/>
    </row>
    <row r="55" spans="2:6" ht="15">
      <c r="B55" s="24"/>
      <c r="C55" s="25"/>
      <c r="D55" s="158">
        <f>AGO_2010!$R$5</f>
        <v>1977.24</v>
      </c>
      <c r="E55" s="158">
        <f>AGO_2010!$G$5</f>
        <v>1983.8</v>
      </c>
      <c r="F55" s="27"/>
    </row>
    <row r="56" spans="2:6" ht="15">
      <c r="B56" s="24"/>
      <c r="C56" s="25"/>
      <c r="D56" s="158"/>
      <c r="E56" s="21"/>
      <c r="F56" s="27"/>
    </row>
    <row r="57" spans="2:6" ht="15">
      <c r="B57" s="36" t="s">
        <v>106</v>
      </c>
      <c r="C57" s="26">
        <f>SUMIF(JAN_2010!C71:C97,BASE!B57,JAN_2010!G57:G97)</f>
        <v>0</v>
      </c>
      <c r="D57" s="158"/>
      <c r="E57" s="21"/>
      <c r="F57" s="35"/>
    </row>
    <row r="58" spans="2:6" ht="15">
      <c r="B58" s="36" t="s">
        <v>138</v>
      </c>
      <c r="C58" s="34">
        <f>D55-E55+C51</f>
        <v>-259.5999999999997</v>
      </c>
      <c r="D58" s="158"/>
      <c r="E58" s="158"/>
      <c r="F58" s="27"/>
    </row>
    <row r="59" spans="2:6" ht="15">
      <c r="B59" s="28">
        <f>SUM(B55:B58)</f>
        <v>0</v>
      </c>
      <c r="C59" s="29"/>
      <c r="D59" s="159"/>
      <c r="E59" s="160"/>
      <c r="F59" s="30"/>
    </row>
    <row r="61" spans="2:6" ht="15">
      <c r="B61" s="163" t="s">
        <v>54</v>
      </c>
      <c r="C61" s="22"/>
      <c r="D61" s="157" t="s">
        <v>137</v>
      </c>
      <c r="E61" s="157" t="s">
        <v>66</v>
      </c>
      <c r="F61" s="23"/>
    </row>
    <row r="62" spans="2:6" ht="15">
      <c r="B62" s="24"/>
      <c r="C62" s="25"/>
      <c r="D62" s="158">
        <f>SET_2010!$R$5</f>
        <v>1977.24</v>
      </c>
      <c r="E62" s="158">
        <f>SET_2010!$G$5</f>
        <v>1973.8</v>
      </c>
      <c r="F62" s="27"/>
    </row>
    <row r="63" spans="2:6" ht="15">
      <c r="B63" s="24"/>
      <c r="C63" s="25"/>
      <c r="D63" s="158"/>
      <c r="E63" s="21"/>
      <c r="F63" s="27"/>
    </row>
    <row r="64" spans="2:6" ht="15">
      <c r="B64" s="36" t="s">
        <v>106</v>
      </c>
      <c r="C64" s="26">
        <f>SUMIF(JAN_2010!C78:C104,BASE!B64,JAN_2010!G64:G104)</f>
        <v>0</v>
      </c>
      <c r="D64" s="158"/>
      <c r="E64" s="21"/>
      <c r="F64" s="35"/>
    </row>
    <row r="65" spans="2:6" ht="15">
      <c r="B65" s="36" t="s">
        <v>138</v>
      </c>
      <c r="C65" s="34">
        <f>D62-E62+C58</f>
        <v>-256.1599999999996</v>
      </c>
      <c r="D65" s="158"/>
      <c r="E65" s="158"/>
      <c r="F65" s="27"/>
    </row>
    <row r="66" spans="2:6" ht="15">
      <c r="B66" s="28">
        <f>SUM(B62:B65)</f>
        <v>0</v>
      </c>
      <c r="C66" s="29"/>
      <c r="D66" s="159"/>
      <c r="E66" s="160"/>
      <c r="F66" s="30"/>
    </row>
    <row r="68" spans="2:6" ht="15">
      <c r="B68" s="163" t="s">
        <v>55</v>
      </c>
      <c r="C68" s="22"/>
      <c r="D68" s="157" t="s">
        <v>137</v>
      </c>
      <c r="E68" s="157" t="s">
        <v>66</v>
      </c>
      <c r="F68" s="23"/>
    </row>
    <row r="69" spans="2:6" ht="15">
      <c r="B69" s="24"/>
      <c r="C69" s="25"/>
      <c r="D69" s="158">
        <f>OUT_2010!$R$5</f>
        <v>1977.24</v>
      </c>
      <c r="E69" s="158">
        <f>OUT_2010!$G$5</f>
        <v>1973.8</v>
      </c>
      <c r="F69" s="27"/>
    </row>
    <row r="70" spans="2:6" ht="15">
      <c r="B70" s="24"/>
      <c r="C70" s="25"/>
      <c r="D70" s="158"/>
      <c r="E70" s="21"/>
      <c r="F70" s="27"/>
    </row>
    <row r="71" spans="2:6" ht="15">
      <c r="B71" s="36" t="s">
        <v>106</v>
      </c>
      <c r="C71" s="26">
        <f>SUMIF(JAN_2010!C85:C111,BASE!B71,JAN_2010!G71:G111)</f>
        <v>0</v>
      </c>
      <c r="D71" s="158"/>
      <c r="E71" s="21"/>
      <c r="F71" s="35"/>
    </row>
    <row r="72" spans="2:6" ht="15">
      <c r="B72" s="36" t="s">
        <v>138</v>
      </c>
      <c r="C72" s="34">
        <f>D69-E69+C65</f>
        <v>-252.71999999999957</v>
      </c>
      <c r="D72" s="158"/>
      <c r="E72" s="158"/>
      <c r="F72" s="27"/>
    </row>
    <row r="73" spans="2:6" ht="15">
      <c r="B73" s="28">
        <f>SUM(B69:B72)</f>
        <v>0</v>
      </c>
      <c r="C73" s="29"/>
      <c r="D73" s="159"/>
      <c r="E73" s="160"/>
      <c r="F73" s="30"/>
    </row>
    <row r="75" spans="2:6" ht="15">
      <c r="B75" s="163" t="s">
        <v>56</v>
      </c>
      <c r="C75" s="22"/>
      <c r="D75" s="157" t="s">
        <v>137</v>
      </c>
      <c r="E75" s="157" t="s">
        <v>66</v>
      </c>
      <c r="F75" s="23"/>
    </row>
    <row r="76" spans="2:6" ht="15">
      <c r="B76" s="24"/>
      <c r="C76" s="25"/>
      <c r="D76" s="158">
        <f>NOV_2010!$R$5</f>
        <v>1977.24</v>
      </c>
      <c r="E76" s="158">
        <f>NOV_2010!$G$5</f>
        <v>1973.8</v>
      </c>
      <c r="F76" s="27"/>
    </row>
    <row r="77" spans="2:6" ht="15">
      <c r="B77" s="24"/>
      <c r="C77" s="25"/>
      <c r="D77" s="158"/>
      <c r="E77" s="21"/>
      <c r="F77" s="27"/>
    </row>
    <row r="78" spans="2:6" ht="15">
      <c r="B78" s="36" t="s">
        <v>106</v>
      </c>
      <c r="C78" s="26">
        <f>SUMIF(JAN_2010!C92:C118,BASE!B78,JAN_2010!G78:G118)</f>
        <v>0</v>
      </c>
      <c r="D78" s="158"/>
      <c r="E78" s="21"/>
      <c r="F78" s="35"/>
    </row>
    <row r="79" spans="2:6" ht="15">
      <c r="B79" s="36" t="s">
        <v>138</v>
      </c>
      <c r="C79" s="34">
        <f>D76-E76+C72</f>
        <v>-249.27999999999952</v>
      </c>
      <c r="D79" s="158"/>
      <c r="E79" s="158"/>
      <c r="F79" s="27"/>
    </row>
    <row r="80" spans="2:6" ht="15">
      <c r="B80" s="28">
        <f>SUM(B76:B79)</f>
        <v>0</v>
      </c>
      <c r="C80" s="29"/>
      <c r="D80" s="159"/>
      <c r="E80" s="160"/>
      <c r="F80" s="30"/>
    </row>
    <row r="82" spans="2:6" ht="15">
      <c r="B82" s="163" t="s">
        <v>57</v>
      </c>
      <c r="C82" s="22"/>
      <c r="D82" s="157" t="s">
        <v>137</v>
      </c>
      <c r="E82" s="157" t="s">
        <v>66</v>
      </c>
      <c r="F82" s="23"/>
    </row>
    <row r="83" spans="2:6" ht="15">
      <c r="B83" s="24"/>
      <c r="C83" s="25"/>
      <c r="D83" s="158">
        <f>DEZ_2010!$R$5</f>
        <v>1977.24</v>
      </c>
      <c r="E83" s="158">
        <f>DEZ_2010!$G$5</f>
        <v>1987</v>
      </c>
      <c r="F83" s="27"/>
    </row>
    <row r="84" spans="2:6" ht="15">
      <c r="B84" s="24"/>
      <c r="C84" s="25"/>
      <c r="D84" s="158"/>
      <c r="E84" s="21"/>
      <c r="F84" s="27"/>
    </row>
    <row r="85" spans="2:6" ht="15">
      <c r="B85" s="36" t="s">
        <v>106</v>
      </c>
      <c r="C85" s="26">
        <f>SUMIF(JAN_2010!C99:C125,BASE!B85,JAN_2010!G85:G125)</f>
        <v>0</v>
      </c>
      <c r="D85" s="158"/>
      <c r="E85" s="21"/>
      <c r="F85" s="35"/>
    </row>
    <row r="86" spans="2:6" ht="15">
      <c r="B86" s="36" t="s">
        <v>138</v>
      </c>
      <c r="C86" s="34">
        <f>D83-E83+C79</f>
        <v>-259.0399999999995</v>
      </c>
      <c r="D86" s="158"/>
      <c r="E86" s="158"/>
      <c r="F86" s="27"/>
    </row>
    <row r="87" spans="2:6" ht="15">
      <c r="B87" s="28">
        <f>SUM(B83:B86)</f>
        <v>0</v>
      </c>
      <c r="C87" s="29"/>
      <c r="D87" s="159"/>
      <c r="E87" s="160"/>
      <c r="F87" s="30"/>
    </row>
    <row r="89" spans="2:6" ht="15">
      <c r="B89" s="163" t="s">
        <v>140</v>
      </c>
      <c r="C89" s="22"/>
      <c r="D89" s="157" t="s">
        <v>137</v>
      </c>
      <c r="E89" s="157" t="s">
        <v>66</v>
      </c>
      <c r="F89" s="23"/>
    </row>
    <row r="90" spans="2:6" ht="15">
      <c r="B90" s="24"/>
      <c r="C90" s="25"/>
      <c r="D90" s="158"/>
      <c r="E90" s="158"/>
      <c r="F90" s="27"/>
    </row>
    <row r="91" spans="2:6" ht="15">
      <c r="B91" s="24"/>
      <c r="C91" s="25"/>
      <c r="D91" s="158"/>
      <c r="E91" s="21"/>
      <c r="F91" s="27"/>
    </row>
    <row r="92" spans="2:6" ht="15">
      <c r="B92" s="36" t="s">
        <v>106</v>
      </c>
      <c r="C92" s="26"/>
      <c r="D92" s="158"/>
      <c r="E92" s="21"/>
      <c r="F92" s="35"/>
    </row>
    <row r="93" spans="2:6" ht="15">
      <c r="B93" s="36" t="s">
        <v>138</v>
      </c>
      <c r="C93" s="34"/>
      <c r="D93" s="158"/>
      <c r="E93" s="158"/>
      <c r="F93" s="27"/>
    </row>
    <row r="94" spans="2:6" ht="15">
      <c r="B94" s="28">
        <f>SUM(B90:B93)</f>
        <v>0</v>
      </c>
      <c r="C94" s="29"/>
      <c r="D94" s="159"/>
      <c r="E94" s="160"/>
      <c r="F94" s="30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9"/>
  <dimension ref="B1:AF47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54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1973.8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/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>
        <f t="shared" si="3"/>
        <v>0</v>
      </c>
      <c r="C12" s="79"/>
      <c r="D12" s="6"/>
      <c r="E12" s="10">
        <f t="shared" si="0"/>
        <v>0</v>
      </c>
      <c r="F12" s="10">
        <f t="shared" si="4"/>
        <v>0</v>
      </c>
      <c r="G12" s="15"/>
      <c r="H12" s="132"/>
      <c r="I12" s="138">
        <f t="shared" si="5"/>
      </c>
      <c r="J12" s="12"/>
      <c r="K12" s="13"/>
      <c r="L12" s="80"/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>
        <f t="shared" si="3"/>
        <v>0</v>
      </c>
      <c r="C13" s="79"/>
      <c r="D13" s="6"/>
      <c r="E13" s="10">
        <f t="shared" si="0"/>
        <v>0</v>
      </c>
      <c r="F13" s="10">
        <f t="shared" si="4"/>
        <v>0</v>
      </c>
      <c r="G13" s="15"/>
      <c r="H13" s="132"/>
      <c r="I13" s="138">
        <f t="shared" si="5"/>
      </c>
      <c r="J13" s="12"/>
      <c r="K13" s="13"/>
      <c r="L13" s="80"/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>
        <f t="shared" si="3"/>
        <v>0</v>
      </c>
      <c r="C14" s="79"/>
      <c r="D14" s="6"/>
      <c r="E14" s="10">
        <f t="shared" si="0"/>
        <v>0</v>
      </c>
      <c r="F14" s="10">
        <f t="shared" si="4"/>
        <v>0</v>
      </c>
      <c r="G14" s="15"/>
      <c r="H14" s="132"/>
      <c r="I14" s="138">
        <f t="shared" si="5"/>
      </c>
      <c r="J14" s="12"/>
      <c r="K14" s="13"/>
      <c r="L14" s="80"/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/>
      <c r="D15" s="6"/>
      <c r="E15" s="10">
        <f t="shared" si="0"/>
        <v>0</v>
      </c>
      <c r="F15" s="10">
        <f t="shared" si="4"/>
        <v>0</v>
      </c>
      <c r="G15" s="15"/>
      <c r="H15" s="132"/>
      <c r="I15" s="138">
        <f t="shared" si="5"/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102</v>
      </c>
      <c r="D16" s="6">
        <v>6</v>
      </c>
      <c r="E16" s="10" t="str">
        <f t="shared" si="0"/>
        <v>TRANSPORTE</v>
      </c>
      <c r="F16" s="10" t="str">
        <f t="shared" si="4"/>
        <v>CUSTO FIXO / VARIAVÉL</v>
      </c>
      <c r="G16" s="15">
        <v>1000</v>
      </c>
      <c r="H16" s="132"/>
      <c r="I16" s="138">
        <f t="shared" si="5"/>
      </c>
      <c r="J16" s="12"/>
      <c r="K16" s="7"/>
      <c r="L16" s="80" t="s">
        <v>117</v>
      </c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165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351.8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/>
      <c r="D21" s="6"/>
      <c r="E21" s="10">
        <f t="shared" si="0"/>
        <v>0</v>
      </c>
      <c r="F21" s="10">
        <f t="shared" si="4"/>
        <v>0</v>
      </c>
      <c r="G21" s="15"/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 t="str">
        <f t="shared" si="3"/>
        <v>A</v>
      </c>
      <c r="C22" s="79" t="s">
        <v>105</v>
      </c>
      <c r="D22" s="6">
        <v>1</v>
      </c>
      <c r="E22" s="10" t="str">
        <f t="shared" si="0"/>
        <v>VESTUARIO</v>
      </c>
      <c r="F22" s="10" t="str">
        <f t="shared" si="4"/>
        <v>CUSTO VARIAVÉL</v>
      </c>
      <c r="G22" s="15">
        <v>100</v>
      </c>
      <c r="H22" s="132"/>
      <c r="I22" s="138">
        <f t="shared" si="5"/>
      </c>
      <c r="J22" s="12"/>
      <c r="K22" s="7" t="s">
        <v>68</v>
      </c>
      <c r="L22" s="80" t="s">
        <v>101</v>
      </c>
      <c r="N22" s="169" t="s">
        <v>73</v>
      </c>
      <c r="O22" s="170"/>
      <c r="P22" s="66">
        <f>G5</f>
        <v>1973.8</v>
      </c>
      <c r="Q22" s="145">
        <v>4</v>
      </c>
      <c r="R22" s="148" t="str">
        <f t="shared" si="6"/>
        <v>INVESTIMENTO</v>
      </c>
      <c r="S22" s="143">
        <f t="shared" si="7"/>
        <v>140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>
        <v>140</v>
      </c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1973.8</v>
      </c>
      <c r="Q24" s="145">
        <v>6</v>
      </c>
      <c r="R24" s="148" t="str">
        <f t="shared" si="6"/>
        <v>TRANSPORTE</v>
      </c>
      <c r="S24" s="143">
        <f t="shared" si="7"/>
        <v>1000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/>
      <c r="D25" s="6"/>
      <c r="E25" s="10">
        <f>IF(D25=0,0,VLOOKUP(D25,$U$7:$V$25,2,FALSE))</f>
        <v>0</v>
      </c>
      <c r="F25" s="10">
        <f>IF(D25=0,0,VLOOKUP(D25,$U$8:$W$25,3,FALSE))</f>
        <v>0</v>
      </c>
      <c r="G25" s="15"/>
      <c r="H25" s="132"/>
      <c r="I25" s="138">
        <f t="shared" si="5"/>
      </c>
      <c r="J25" s="12"/>
      <c r="K25" s="7"/>
      <c r="L25" s="80"/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/>
      <c r="D26" s="6"/>
      <c r="E26" s="10">
        <f t="shared" si="0"/>
        <v>0</v>
      </c>
      <c r="F26" s="10">
        <f t="shared" si="4"/>
        <v>0</v>
      </c>
      <c r="G26" s="15"/>
      <c r="H26" s="132"/>
      <c r="I26" s="138">
        <f t="shared" si="5"/>
      </c>
      <c r="J26" s="12"/>
      <c r="K26" s="7"/>
      <c r="L26" s="80"/>
      <c r="N26" s="171" t="s">
        <v>34</v>
      </c>
      <c r="O26" s="172"/>
      <c r="P26" s="66">
        <f>AGO_2010!P28</f>
        <v>-7.039999999999736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-1973.8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122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135</v>
      </c>
      <c r="H28" s="132"/>
      <c r="I28" s="138">
        <f t="shared" si="5"/>
      </c>
      <c r="J28" s="12"/>
      <c r="K28" s="7"/>
      <c r="L28" s="80" t="s">
        <v>117</v>
      </c>
      <c r="N28" s="175" t="s">
        <v>35</v>
      </c>
      <c r="O28" s="176"/>
      <c r="P28" s="66">
        <f>P19-P22+P26</f>
        <v>-3.5999999999996817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/>
      <c r="D29" s="6"/>
      <c r="E29" s="10">
        <f t="shared" si="0"/>
        <v>0</v>
      </c>
      <c r="F29" s="10">
        <f t="shared" si="4"/>
        <v>0</v>
      </c>
      <c r="G29" s="15"/>
      <c r="H29" s="132"/>
      <c r="I29" s="138">
        <f t="shared" si="5"/>
      </c>
      <c r="J29" s="12"/>
      <c r="K29" s="13"/>
      <c r="L29" s="80"/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 t="s">
        <v>125</v>
      </c>
      <c r="D30" s="6">
        <v>2</v>
      </c>
      <c r="E30" s="10" t="str">
        <f t="shared" si="0"/>
        <v>LAZER</v>
      </c>
      <c r="F30" s="10" t="str">
        <f t="shared" si="4"/>
        <v>CUSTO VARIAVÉL</v>
      </c>
      <c r="G30" s="15">
        <v>16.8</v>
      </c>
      <c r="H30" s="132"/>
      <c r="I30" s="138">
        <f t="shared" si="5"/>
      </c>
      <c r="J30" s="12"/>
      <c r="K30" s="7"/>
      <c r="L30" s="80" t="s">
        <v>118</v>
      </c>
      <c r="N30" s="124" t="s">
        <v>80</v>
      </c>
      <c r="O30" s="127" t="s">
        <v>68</v>
      </c>
      <c r="P30" s="110">
        <f>SUMIF($B$7:$B$33,O30,$G$7:$G$47)</f>
        <v>100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0</v>
      </c>
    </row>
    <row r="32" spans="2:19" ht="13.5" thickBot="1">
      <c r="B32">
        <f>K46</f>
        <v>0</v>
      </c>
      <c r="C32" s="79" t="s">
        <v>131</v>
      </c>
      <c r="D32" s="6">
        <v>2</v>
      </c>
      <c r="E32" s="10" t="str">
        <f t="shared" si="0"/>
        <v>LAZER</v>
      </c>
      <c r="F32" s="10" t="str">
        <f t="shared" si="4"/>
        <v>CUSTO VARIAVÉL</v>
      </c>
      <c r="G32" s="15">
        <v>200</v>
      </c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/>
      <c r="D33" s="6"/>
      <c r="E33" s="10">
        <f t="shared" si="0"/>
        <v>0</v>
      </c>
      <c r="F33" s="10">
        <f t="shared" si="4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2:O22"/>
    <mergeCell ref="N23:O23"/>
    <mergeCell ref="N24:O24"/>
    <mergeCell ref="N25:O25"/>
    <mergeCell ref="N26:O26"/>
    <mergeCell ref="N27:O27"/>
    <mergeCell ref="N28:O28"/>
  </mergeCells>
  <conditionalFormatting sqref="C46:C47 E46:L47 D46">
    <cfRule type="expression" priority="1" dxfId="0" stopIfTrue="1">
      <formula>$G46&lt;0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0"/>
  <dimension ref="B1:AF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55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1973.8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/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>
        <f t="shared" si="3"/>
        <v>0</v>
      </c>
      <c r="C12" s="79"/>
      <c r="D12" s="6"/>
      <c r="E12" s="10">
        <f t="shared" si="0"/>
        <v>0</v>
      </c>
      <c r="F12" s="10">
        <f t="shared" si="4"/>
        <v>0</v>
      </c>
      <c r="G12" s="15"/>
      <c r="H12" s="132"/>
      <c r="I12" s="138">
        <f t="shared" si="5"/>
      </c>
      <c r="J12" s="12"/>
      <c r="K12" s="13"/>
      <c r="L12" s="80"/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>
        <f t="shared" si="3"/>
        <v>0</v>
      </c>
      <c r="C13" s="79"/>
      <c r="D13" s="6"/>
      <c r="E13" s="10">
        <f t="shared" si="0"/>
        <v>0</v>
      </c>
      <c r="F13" s="10">
        <f t="shared" si="4"/>
        <v>0</v>
      </c>
      <c r="G13" s="15"/>
      <c r="H13" s="132"/>
      <c r="I13" s="138">
        <f t="shared" si="5"/>
      </c>
      <c r="J13" s="12"/>
      <c r="K13" s="13"/>
      <c r="L13" s="80"/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>
        <f t="shared" si="3"/>
        <v>0</v>
      </c>
      <c r="C14" s="79"/>
      <c r="D14" s="6"/>
      <c r="E14" s="10">
        <f t="shared" si="0"/>
        <v>0</v>
      </c>
      <c r="F14" s="10">
        <f t="shared" si="4"/>
        <v>0</v>
      </c>
      <c r="G14" s="15"/>
      <c r="H14" s="132"/>
      <c r="I14" s="138">
        <f t="shared" si="5"/>
      </c>
      <c r="J14" s="12"/>
      <c r="K14" s="13"/>
      <c r="L14" s="80"/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/>
      <c r="D15" s="6"/>
      <c r="E15" s="10">
        <f t="shared" si="0"/>
        <v>0</v>
      </c>
      <c r="F15" s="10">
        <f t="shared" si="4"/>
        <v>0</v>
      </c>
      <c r="G15" s="15"/>
      <c r="H15" s="132"/>
      <c r="I15" s="138">
        <f t="shared" si="5"/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102</v>
      </c>
      <c r="D16" s="6">
        <v>6</v>
      </c>
      <c r="E16" s="10" t="str">
        <f t="shared" si="0"/>
        <v>TRANSPORTE</v>
      </c>
      <c r="F16" s="10" t="str">
        <f t="shared" si="4"/>
        <v>CUSTO FIXO / VARIAVÉL</v>
      </c>
      <c r="G16" s="15">
        <v>1000</v>
      </c>
      <c r="H16" s="132"/>
      <c r="I16" s="138">
        <f t="shared" si="5"/>
      </c>
      <c r="J16" s="12"/>
      <c r="K16" s="7"/>
      <c r="L16" s="80" t="s">
        <v>118</v>
      </c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65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151.8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/>
      <c r="D21" s="6"/>
      <c r="E21" s="10">
        <f t="shared" si="0"/>
        <v>0</v>
      </c>
      <c r="F21" s="10">
        <f t="shared" si="4"/>
        <v>0</v>
      </c>
      <c r="G21" s="15"/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>
        <f t="shared" si="3"/>
        <v>0</v>
      </c>
      <c r="C22" s="79"/>
      <c r="D22" s="6"/>
      <c r="E22" s="10">
        <f t="shared" si="0"/>
        <v>0</v>
      </c>
      <c r="F22" s="10">
        <f t="shared" si="4"/>
        <v>0</v>
      </c>
      <c r="G22" s="15"/>
      <c r="H22" s="132"/>
      <c r="I22" s="138">
        <f t="shared" si="5"/>
      </c>
      <c r="J22" s="12"/>
      <c r="K22" s="7"/>
      <c r="L22" s="80"/>
      <c r="N22" s="169" t="s">
        <v>73</v>
      </c>
      <c r="O22" s="170"/>
      <c r="P22" s="66">
        <f>G5</f>
        <v>1973.8</v>
      </c>
      <c r="Q22" s="145">
        <v>4</v>
      </c>
      <c r="R22" s="148" t="str">
        <f t="shared" si="6"/>
        <v>INVESTIMENTO</v>
      </c>
      <c r="S22" s="143">
        <f t="shared" si="7"/>
        <v>440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>
        <v>440</v>
      </c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1973.8</v>
      </c>
      <c r="Q24" s="145">
        <v>6</v>
      </c>
      <c r="R24" s="148" t="str">
        <f t="shared" si="6"/>
        <v>TRANSPORTE</v>
      </c>
      <c r="S24" s="143">
        <f t="shared" si="7"/>
        <v>1000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/>
      <c r="D25" s="6"/>
      <c r="E25" s="10">
        <f>IF(D25=0,0,VLOOKUP(D25,$U$7:$V$25,2,FALSE))</f>
        <v>0</v>
      </c>
      <c r="F25" s="10">
        <f>IF(D25=0,0,VLOOKUP(D25,$U$8:$W$25,3,FALSE))</f>
        <v>0</v>
      </c>
      <c r="G25" s="15"/>
      <c r="H25" s="132"/>
      <c r="I25" s="138">
        <f t="shared" si="5"/>
      </c>
      <c r="J25" s="12"/>
      <c r="K25" s="7"/>
      <c r="L25" s="80"/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/>
      <c r="D26" s="6"/>
      <c r="E26" s="10">
        <f t="shared" si="0"/>
        <v>0</v>
      </c>
      <c r="F26" s="10">
        <f t="shared" si="4"/>
        <v>0</v>
      </c>
      <c r="G26" s="15"/>
      <c r="H26" s="132"/>
      <c r="I26" s="138">
        <f t="shared" si="5"/>
      </c>
      <c r="J26" s="12"/>
      <c r="K26" s="7"/>
      <c r="L26" s="80"/>
      <c r="N26" s="171" t="s">
        <v>34</v>
      </c>
      <c r="O26" s="172"/>
      <c r="P26" s="66">
        <f>SET_2010!P28</f>
        <v>-3.5999999999996817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-1973.8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122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135</v>
      </c>
      <c r="H28" s="132"/>
      <c r="I28" s="138">
        <f t="shared" si="5"/>
      </c>
      <c r="J28" s="12"/>
      <c r="K28" s="7"/>
      <c r="L28" s="80" t="s">
        <v>118</v>
      </c>
      <c r="N28" s="175" t="s">
        <v>35</v>
      </c>
      <c r="O28" s="176"/>
      <c r="P28" s="66">
        <f>P19-P22+P26</f>
        <v>-0.1599999999996271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/>
      <c r="D29" s="6"/>
      <c r="E29" s="10">
        <f t="shared" si="0"/>
        <v>0</v>
      </c>
      <c r="F29" s="10">
        <f t="shared" si="4"/>
        <v>0</v>
      </c>
      <c r="G29" s="15"/>
      <c r="H29" s="132"/>
      <c r="I29" s="138">
        <f t="shared" si="5"/>
      </c>
      <c r="J29" s="12"/>
      <c r="K29" s="13"/>
      <c r="L29" s="80"/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 t="s">
        <v>125</v>
      </c>
      <c r="D30" s="6">
        <v>2</v>
      </c>
      <c r="E30" s="10" t="str">
        <f t="shared" si="0"/>
        <v>LAZER</v>
      </c>
      <c r="F30" s="10" t="str">
        <f t="shared" si="4"/>
        <v>CUSTO VARIAVÉL</v>
      </c>
      <c r="G30" s="15">
        <v>16.8</v>
      </c>
      <c r="H30" s="132"/>
      <c r="I30" s="138">
        <f t="shared" si="5"/>
      </c>
      <c r="J30" s="12"/>
      <c r="K30" s="7"/>
      <c r="L30" s="80" t="s">
        <v>119</v>
      </c>
      <c r="N30" s="124" t="s">
        <v>80</v>
      </c>
      <c r="O30" s="127" t="s">
        <v>68</v>
      </c>
      <c r="P30" s="110">
        <f>SUMIF($B$7:$B$33,O30,$G$7:$G$47)</f>
        <v>0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0</v>
      </c>
    </row>
    <row r="32" spans="2:19" ht="13.5" thickBot="1">
      <c r="B32">
        <f>K46</f>
        <v>0</v>
      </c>
      <c r="C32" s="79"/>
      <c r="D32" s="6"/>
      <c r="E32" s="10">
        <f t="shared" si="0"/>
        <v>0</v>
      </c>
      <c r="F32" s="10">
        <f t="shared" si="4"/>
        <v>0</v>
      </c>
      <c r="G32" s="15"/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/>
      <c r="D33" s="6"/>
      <c r="E33" s="10">
        <f t="shared" si="0"/>
        <v>0</v>
      </c>
      <c r="F33" s="10">
        <f t="shared" si="4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2:O22"/>
    <mergeCell ref="N23:O23"/>
    <mergeCell ref="N24:O24"/>
    <mergeCell ref="N25:O25"/>
    <mergeCell ref="N26:O26"/>
    <mergeCell ref="N27:O27"/>
    <mergeCell ref="N28:O28"/>
  </mergeCells>
  <conditionalFormatting sqref="C46:L47">
    <cfRule type="expression" priority="1" dxfId="0" stopIfTrue="1">
      <formula>$G46&lt;0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1"/>
  <dimension ref="B1:AF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56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1973.8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/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>
        <f t="shared" si="3"/>
        <v>0</v>
      </c>
      <c r="C12" s="79"/>
      <c r="D12" s="6"/>
      <c r="E12" s="10">
        <f t="shared" si="0"/>
        <v>0</v>
      </c>
      <c r="F12" s="10">
        <f t="shared" si="4"/>
        <v>0</v>
      </c>
      <c r="G12" s="15"/>
      <c r="H12" s="132"/>
      <c r="I12" s="138">
        <f t="shared" si="5"/>
      </c>
      <c r="J12" s="12"/>
      <c r="K12" s="13"/>
      <c r="L12" s="80"/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>
        <f t="shared" si="3"/>
        <v>0</v>
      </c>
      <c r="C13" s="79"/>
      <c r="D13" s="6"/>
      <c r="E13" s="10">
        <f t="shared" si="0"/>
        <v>0</v>
      </c>
      <c r="F13" s="10">
        <f t="shared" si="4"/>
        <v>0</v>
      </c>
      <c r="G13" s="15"/>
      <c r="H13" s="132"/>
      <c r="I13" s="138">
        <f t="shared" si="5"/>
      </c>
      <c r="J13" s="12"/>
      <c r="K13" s="13"/>
      <c r="L13" s="80"/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>
        <f t="shared" si="3"/>
        <v>0</v>
      </c>
      <c r="C14" s="79"/>
      <c r="D14" s="6"/>
      <c r="E14" s="10">
        <f t="shared" si="0"/>
        <v>0</v>
      </c>
      <c r="F14" s="10">
        <f t="shared" si="4"/>
        <v>0</v>
      </c>
      <c r="G14" s="15"/>
      <c r="H14" s="132"/>
      <c r="I14" s="138">
        <f t="shared" si="5"/>
      </c>
      <c r="J14" s="12"/>
      <c r="K14" s="13"/>
      <c r="L14" s="80"/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/>
      <c r="D15" s="6"/>
      <c r="E15" s="10">
        <f t="shared" si="0"/>
        <v>0</v>
      </c>
      <c r="F15" s="10">
        <f t="shared" si="4"/>
        <v>0</v>
      </c>
      <c r="G15" s="15"/>
      <c r="H15" s="132"/>
      <c r="I15" s="138">
        <f t="shared" si="5"/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102</v>
      </c>
      <c r="D16" s="6">
        <v>6</v>
      </c>
      <c r="E16" s="10" t="str">
        <f t="shared" si="0"/>
        <v>TRANSPORTE</v>
      </c>
      <c r="F16" s="10" t="str">
        <f t="shared" si="4"/>
        <v>CUSTO FIXO / VARIAVÉL</v>
      </c>
      <c r="G16" s="15">
        <v>1000</v>
      </c>
      <c r="H16" s="132"/>
      <c r="I16" s="138">
        <f t="shared" si="5"/>
      </c>
      <c r="J16" s="12"/>
      <c r="K16" s="7"/>
      <c r="L16" s="80" t="s">
        <v>119</v>
      </c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65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151.8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/>
      <c r="D21" s="6"/>
      <c r="E21" s="10">
        <f t="shared" si="0"/>
        <v>0</v>
      </c>
      <c r="F21" s="10">
        <f t="shared" si="4"/>
        <v>0</v>
      </c>
      <c r="G21" s="15"/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>
        <f t="shared" si="3"/>
        <v>0</v>
      </c>
      <c r="C22" s="79"/>
      <c r="D22" s="6"/>
      <c r="E22" s="10">
        <f t="shared" si="0"/>
        <v>0</v>
      </c>
      <c r="F22" s="10">
        <f t="shared" si="4"/>
        <v>0</v>
      </c>
      <c r="G22" s="15"/>
      <c r="H22" s="132"/>
      <c r="I22" s="138">
        <f t="shared" si="5"/>
      </c>
      <c r="J22" s="12"/>
      <c r="K22" s="7"/>
      <c r="L22" s="80"/>
      <c r="N22" s="169" t="s">
        <v>73</v>
      </c>
      <c r="O22" s="170"/>
      <c r="P22" s="66">
        <f>G5</f>
        <v>1973.8</v>
      </c>
      <c r="Q22" s="145">
        <v>4</v>
      </c>
      <c r="R22" s="148" t="str">
        <f t="shared" si="6"/>
        <v>INVESTIMENTO</v>
      </c>
      <c r="S22" s="143">
        <f t="shared" si="7"/>
        <v>440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>
        <v>440</v>
      </c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1973.8</v>
      </c>
      <c r="Q24" s="145">
        <v>6</v>
      </c>
      <c r="R24" s="148" t="str">
        <f t="shared" si="6"/>
        <v>TRANSPORTE</v>
      </c>
      <c r="S24" s="143">
        <f t="shared" si="7"/>
        <v>1000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/>
      <c r="D25" s="6"/>
      <c r="E25" s="10">
        <f>IF(D25=0,0,VLOOKUP(D25,$U$7:$V$25,2,FALSE))</f>
        <v>0</v>
      </c>
      <c r="F25" s="10">
        <f>IF(D25=0,0,VLOOKUP(D25,$U$8:$W$25,3,FALSE))</f>
        <v>0</v>
      </c>
      <c r="G25" s="15"/>
      <c r="H25" s="132"/>
      <c r="I25" s="138">
        <f t="shared" si="5"/>
      </c>
      <c r="J25" s="12"/>
      <c r="K25" s="7"/>
      <c r="L25" s="80"/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/>
      <c r="D26" s="6"/>
      <c r="E26" s="10">
        <f t="shared" si="0"/>
        <v>0</v>
      </c>
      <c r="F26" s="10">
        <f t="shared" si="4"/>
        <v>0</v>
      </c>
      <c r="G26" s="15"/>
      <c r="H26" s="132"/>
      <c r="I26" s="138">
        <f t="shared" si="5"/>
      </c>
      <c r="J26" s="12"/>
      <c r="K26" s="7"/>
      <c r="L26" s="80"/>
      <c r="N26" s="171" t="s">
        <v>34</v>
      </c>
      <c r="O26" s="172"/>
      <c r="P26" s="66">
        <f>OUT_2010!P28</f>
        <v>-0.1599999999996271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-1973.8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122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135</v>
      </c>
      <c r="H28" s="132"/>
      <c r="I28" s="138">
        <f t="shared" si="5"/>
      </c>
      <c r="J28" s="12"/>
      <c r="K28" s="7"/>
      <c r="L28" s="80" t="s">
        <v>119</v>
      </c>
      <c r="N28" s="175" t="s">
        <v>35</v>
      </c>
      <c r="O28" s="176"/>
      <c r="P28" s="66">
        <f>P19-P22+P26</f>
        <v>3.2800000000004275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/>
      <c r="D29" s="6"/>
      <c r="E29" s="10">
        <f t="shared" si="0"/>
        <v>0</v>
      </c>
      <c r="F29" s="10">
        <f t="shared" si="4"/>
        <v>0</v>
      </c>
      <c r="G29" s="15"/>
      <c r="H29" s="132"/>
      <c r="I29" s="138">
        <f t="shared" si="5"/>
      </c>
      <c r="J29" s="12"/>
      <c r="K29" s="13"/>
      <c r="L29" s="80"/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 t="s">
        <v>125</v>
      </c>
      <c r="D30" s="6">
        <v>2</v>
      </c>
      <c r="E30" s="10" t="str">
        <f t="shared" si="0"/>
        <v>LAZER</v>
      </c>
      <c r="F30" s="10" t="str">
        <f t="shared" si="4"/>
        <v>CUSTO VARIAVÉL</v>
      </c>
      <c r="G30" s="15">
        <v>16.8</v>
      </c>
      <c r="H30" s="132"/>
      <c r="I30" s="138">
        <f t="shared" si="5"/>
      </c>
      <c r="J30" s="12"/>
      <c r="K30" s="7"/>
      <c r="L30" s="80" t="s">
        <v>120</v>
      </c>
      <c r="N30" s="124" t="s">
        <v>80</v>
      </c>
      <c r="O30" s="127" t="s">
        <v>68</v>
      </c>
      <c r="P30" s="110">
        <f>SUMIF($B$7:$B$33,O30,$G$7:$G$47)</f>
        <v>0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0</v>
      </c>
    </row>
    <row r="32" spans="2:19" ht="13.5" thickBot="1">
      <c r="B32">
        <f>K46</f>
        <v>0</v>
      </c>
      <c r="C32" s="79"/>
      <c r="D32" s="6"/>
      <c r="E32" s="10">
        <f t="shared" si="0"/>
        <v>0</v>
      </c>
      <c r="F32" s="10">
        <f t="shared" si="4"/>
        <v>0</v>
      </c>
      <c r="G32" s="15"/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/>
      <c r="D33" s="6"/>
      <c r="E33" s="10">
        <f t="shared" si="0"/>
        <v>0</v>
      </c>
      <c r="F33" s="10">
        <f t="shared" si="4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2:O22"/>
    <mergeCell ref="N23:O23"/>
    <mergeCell ref="N24:O24"/>
    <mergeCell ref="N25:O25"/>
    <mergeCell ref="N26:O26"/>
    <mergeCell ref="N27:O27"/>
    <mergeCell ref="N28:O28"/>
  </mergeCells>
  <conditionalFormatting sqref="C46:L47">
    <cfRule type="expression" priority="1" dxfId="0" stopIfTrue="1">
      <formula>$G46&lt;0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B1:AF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57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1987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 t="s">
        <v>134</v>
      </c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 t="s">
        <v>135</v>
      </c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>
        <f t="shared" si="3"/>
        <v>0</v>
      </c>
      <c r="C12" s="79"/>
      <c r="D12" s="6"/>
      <c r="E12" s="10">
        <f t="shared" si="0"/>
        <v>0</v>
      </c>
      <c r="F12" s="10">
        <f t="shared" si="4"/>
        <v>0</v>
      </c>
      <c r="G12" s="15"/>
      <c r="H12" s="132"/>
      <c r="I12" s="138">
        <f t="shared" si="5"/>
      </c>
      <c r="J12" s="12"/>
      <c r="K12" s="13"/>
      <c r="L12" s="80"/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>
        <f t="shared" si="3"/>
        <v>0</v>
      </c>
      <c r="C13" s="79"/>
      <c r="D13" s="6"/>
      <c r="E13" s="10">
        <f t="shared" si="0"/>
        <v>0</v>
      </c>
      <c r="F13" s="10">
        <f t="shared" si="4"/>
        <v>0</v>
      </c>
      <c r="G13" s="15"/>
      <c r="H13" s="132"/>
      <c r="I13" s="138">
        <f t="shared" si="5"/>
      </c>
      <c r="J13" s="12"/>
      <c r="K13" s="13"/>
      <c r="L13" s="80"/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>
        <f t="shared" si="3"/>
        <v>0</v>
      </c>
      <c r="C14" s="79"/>
      <c r="D14" s="6"/>
      <c r="E14" s="10">
        <f t="shared" si="0"/>
        <v>0</v>
      </c>
      <c r="F14" s="10">
        <f t="shared" si="4"/>
        <v>0</v>
      </c>
      <c r="G14" s="15"/>
      <c r="H14" s="132"/>
      <c r="I14" s="138">
        <f t="shared" si="5"/>
      </c>
      <c r="J14" s="12"/>
      <c r="K14" s="13"/>
      <c r="L14" s="80"/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/>
      <c r="D15" s="6"/>
      <c r="E15" s="10">
        <f t="shared" si="0"/>
        <v>0</v>
      </c>
      <c r="F15" s="10">
        <f t="shared" si="4"/>
        <v>0</v>
      </c>
      <c r="G15" s="15"/>
      <c r="H15" s="132"/>
      <c r="I15" s="138">
        <f t="shared" si="5"/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102</v>
      </c>
      <c r="D16" s="6">
        <v>6</v>
      </c>
      <c r="E16" s="10" t="str">
        <f t="shared" si="0"/>
        <v>TRANSPORTE</v>
      </c>
      <c r="F16" s="10" t="str">
        <f t="shared" si="4"/>
        <v>CUSTO FIXO / VARIAVÉL</v>
      </c>
      <c r="G16" s="15">
        <v>1000</v>
      </c>
      <c r="H16" s="132"/>
      <c r="I16" s="138">
        <f t="shared" si="5"/>
      </c>
      <c r="J16" s="12"/>
      <c r="K16" s="7"/>
      <c r="L16" s="80" t="s">
        <v>120</v>
      </c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535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135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 t="s">
        <v>132</v>
      </c>
      <c r="D21" s="6">
        <v>1</v>
      </c>
      <c r="E21" s="10" t="str">
        <f t="shared" si="0"/>
        <v>VESTUARIO</v>
      </c>
      <c r="F21" s="10" t="str">
        <f t="shared" si="4"/>
        <v>CUSTO VARIAVÉL</v>
      </c>
      <c r="G21" s="15">
        <v>270</v>
      </c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 t="str">
        <f t="shared" si="3"/>
        <v>A</v>
      </c>
      <c r="C22" s="79" t="s">
        <v>105</v>
      </c>
      <c r="D22" s="6">
        <v>1</v>
      </c>
      <c r="E22" s="10" t="str">
        <f t="shared" si="0"/>
        <v>VESTUARIO</v>
      </c>
      <c r="F22" s="10" t="str">
        <f t="shared" si="4"/>
        <v>CUSTO VARIAVÉL</v>
      </c>
      <c r="G22" s="15">
        <v>200</v>
      </c>
      <c r="H22" s="132"/>
      <c r="I22" s="138">
        <f t="shared" si="5"/>
      </c>
      <c r="J22" s="12"/>
      <c r="K22" s="7" t="s">
        <v>68</v>
      </c>
      <c r="L22" s="80" t="s">
        <v>111</v>
      </c>
      <c r="N22" s="169" t="s">
        <v>73</v>
      </c>
      <c r="O22" s="170"/>
      <c r="P22" s="66">
        <f>G5</f>
        <v>1987</v>
      </c>
      <c r="Q22" s="145">
        <v>4</v>
      </c>
      <c r="R22" s="148" t="str">
        <f t="shared" si="6"/>
        <v>INVESTIMENTO</v>
      </c>
      <c r="S22" s="143">
        <f t="shared" si="7"/>
        <v>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/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1987</v>
      </c>
      <c r="Q24" s="145">
        <v>6</v>
      </c>
      <c r="R24" s="148" t="str">
        <f t="shared" si="6"/>
        <v>TRANSPORTE</v>
      </c>
      <c r="S24" s="143">
        <f t="shared" si="7"/>
        <v>1000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/>
      <c r="D25" s="6"/>
      <c r="E25" s="10">
        <f>IF(D25=0,0,VLOOKUP(D25,$U$7:$V$25,2,FALSE))</f>
        <v>0</v>
      </c>
      <c r="F25" s="10">
        <f>IF(D25=0,0,VLOOKUP(D25,$U$8:$W$25,3,FALSE))</f>
        <v>0</v>
      </c>
      <c r="G25" s="15"/>
      <c r="H25" s="132"/>
      <c r="I25" s="138">
        <f t="shared" si="5"/>
      </c>
      <c r="J25" s="12"/>
      <c r="K25" s="7"/>
      <c r="L25" s="80"/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/>
      <c r="D26" s="6"/>
      <c r="E26" s="10">
        <f t="shared" si="0"/>
        <v>0</v>
      </c>
      <c r="F26" s="10">
        <f t="shared" si="4"/>
        <v>0</v>
      </c>
      <c r="G26" s="15"/>
      <c r="H26" s="132"/>
      <c r="I26" s="138">
        <f t="shared" si="5"/>
      </c>
      <c r="J26" s="12"/>
      <c r="K26" s="7"/>
      <c r="L26" s="80"/>
      <c r="N26" s="171" t="s">
        <v>34</v>
      </c>
      <c r="O26" s="172"/>
      <c r="P26" s="66">
        <f>NOV_2010!P28</f>
        <v>3.2800000000004275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-1987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122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135</v>
      </c>
      <c r="H28" s="132"/>
      <c r="I28" s="138">
        <f t="shared" si="5"/>
      </c>
      <c r="J28" s="12"/>
      <c r="K28" s="7"/>
      <c r="L28" s="80" t="s">
        <v>120</v>
      </c>
      <c r="N28" s="175" t="s">
        <v>35</v>
      </c>
      <c r="O28" s="176"/>
      <c r="P28" s="66">
        <f>P19-P22+P26</f>
        <v>-6.479999999999563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/>
      <c r="D29" s="6"/>
      <c r="E29" s="10">
        <f t="shared" si="0"/>
        <v>0</v>
      </c>
      <c r="F29" s="10">
        <f t="shared" si="4"/>
        <v>0</v>
      </c>
      <c r="G29" s="15"/>
      <c r="H29" s="132"/>
      <c r="I29" s="138">
        <f t="shared" si="5"/>
      </c>
      <c r="J29" s="12"/>
      <c r="K29" s="13"/>
      <c r="L29" s="80"/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/>
      <c r="D30" s="6"/>
      <c r="E30" s="10">
        <f t="shared" si="0"/>
        <v>0</v>
      </c>
      <c r="F30" s="10">
        <f t="shared" si="4"/>
        <v>0</v>
      </c>
      <c r="G30" s="15"/>
      <c r="H30" s="132"/>
      <c r="I30" s="138">
        <f t="shared" si="5"/>
      </c>
      <c r="J30" s="12"/>
      <c r="K30" s="7"/>
      <c r="L30" s="80"/>
      <c r="N30" s="124" t="s">
        <v>80</v>
      </c>
      <c r="O30" s="127" t="s">
        <v>68</v>
      </c>
      <c r="P30" s="110">
        <f>SUMIF($B$7:$B$33,O30,$G$7:$G$47)</f>
        <v>200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0</v>
      </c>
    </row>
    <row r="32" spans="2:19" ht="13.5" thickBot="1">
      <c r="B32">
        <f>K46</f>
        <v>0</v>
      </c>
      <c r="C32" s="79"/>
      <c r="D32" s="6"/>
      <c r="E32" s="10">
        <f t="shared" si="0"/>
        <v>0</v>
      </c>
      <c r="F32" s="10">
        <f t="shared" si="4"/>
        <v>0</v>
      </c>
      <c r="G32" s="15"/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/>
      <c r="D33" s="6"/>
      <c r="E33" s="10">
        <f t="shared" si="0"/>
        <v>0</v>
      </c>
      <c r="F33" s="10">
        <f t="shared" si="4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2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2:O22"/>
    <mergeCell ref="N23:O23"/>
    <mergeCell ref="N24:O24"/>
    <mergeCell ref="N25:O25"/>
    <mergeCell ref="N26:O26"/>
    <mergeCell ref="N27:O27"/>
    <mergeCell ref="N28:O28"/>
  </mergeCells>
  <conditionalFormatting sqref="C32:L33">
    <cfRule type="expression" priority="1" dxfId="0" stopIfTrue="1">
      <formula>$G32&lt;0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4"/>
  <dimension ref="B1:Q36"/>
  <sheetViews>
    <sheetView showGridLines="0" zoomScalePageLayoutView="0" workbookViewId="0" topLeftCell="A1">
      <selection activeCell="I23" sqref="I23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12.00390625" style="53" bestFit="1" customWidth="1"/>
    <col min="4" max="4" width="10.7109375" style="0" customWidth="1"/>
    <col min="5" max="5" width="12.28125" style="0" customWidth="1"/>
    <col min="6" max="7" width="10.7109375" style="0" customWidth="1"/>
    <col min="8" max="8" width="12.00390625" style="0" bestFit="1" customWidth="1"/>
    <col min="9" max="12" width="10.7109375" style="0" customWidth="1"/>
    <col min="13" max="13" width="12.28125" style="0" customWidth="1"/>
    <col min="14" max="15" width="10.7109375" style="0" customWidth="1"/>
    <col min="16" max="16" width="12.00390625" style="0" bestFit="1" customWidth="1"/>
    <col min="17" max="17" width="10.7109375" style="0" hidden="1" customWidth="1"/>
  </cols>
  <sheetData>
    <row r="1" ht="12.75">
      <c r="C1" s="1"/>
    </row>
    <row r="2" spans="3:17" s="38" customFormat="1" ht="12.75">
      <c r="C2" s="39">
        <v>1</v>
      </c>
      <c r="D2" s="39">
        <v>2</v>
      </c>
      <c r="E2" s="39">
        <v>3</v>
      </c>
      <c r="F2" s="39">
        <v>4</v>
      </c>
      <c r="G2" s="39">
        <v>5</v>
      </c>
      <c r="H2" s="39">
        <v>6</v>
      </c>
      <c r="I2" s="39">
        <v>7</v>
      </c>
      <c r="J2" s="39">
        <v>8</v>
      </c>
      <c r="K2" s="39">
        <v>9</v>
      </c>
      <c r="L2" s="39">
        <v>10</v>
      </c>
      <c r="M2" s="39">
        <v>11</v>
      </c>
      <c r="N2" s="39">
        <v>12</v>
      </c>
      <c r="O2" s="39">
        <v>13</v>
      </c>
      <c r="P2" s="39">
        <v>14</v>
      </c>
      <c r="Q2" s="39">
        <v>15</v>
      </c>
    </row>
    <row r="3" spans="2:17" s="40" customFormat="1" ht="34.5" customHeight="1">
      <c r="B3" s="134" t="s">
        <v>58</v>
      </c>
      <c r="C3" s="135" t="str">
        <f>VLOOKUP(C2,DEZ_2010!$U$8:$V$22,2,FALSE)</f>
        <v>VESTUARIO</v>
      </c>
      <c r="D3" s="135" t="str">
        <f>VLOOKUP(D2,DEZ_2010!$U$8:$V$22,2,FALSE)</f>
        <v>LAZER</v>
      </c>
      <c r="E3" s="135" t="str">
        <f>VLOOKUP(E2,DEZ_2010!$U$8:$V$22,2,FALSE)</f>
        <v>EDUCAÇÃO</v>
      </c>
      <c r="F3" s="135" t="str">
        <f>VLOOKUP(F2,DEZ_2010!$U$8:$V$22,2,FALSE)</f>
        <v>INVESTIMENTO</v>
      </c>
      <c r="G3" s="135" t="str">
        <f>VLOOKUP(G2,DEZ_2010!$U$8:$V$22,2,FALSE)</f>
        <v>MORADIA</v>
      </c>
      <c r="H3" s="135" t="str">
        <f>VLOOKUP(H2,DEZ_2010!$U$8:$V$22,2,FALSE)</f>
        <v>TRANSPORTE</v>
      </c>
      <c r="I3" s="135" t="str">
        <f>VLOOKUP(I2,DEZ_2010!$U$8:$V$22,2,FALSE)</f>
        <v>ALIMENTAÇÃO</v>
      </c>
      <c r="J3" s="135" t="str">
        <f>VLOOKUP(J2,DEZ_2010!$U$8:$V$22,2,FALSE)</f>
        <v>TELEFONIA</v>
      </c>
      <c r="K3" s="135" t="str">
        <f>VLOOKUP(K2,DEZ_2010!$U$8:$V$22,2,FALSE)</f>
        <v>DEPENDENTES</v>
      </c>
      <c r="L3" s="135" t="str">
        <f>VLOOKUP(L2,DEZ_2010!$U$8:$V$22,2,FALSE)</f>
        <v>SAUDE</v>
      </c>
      <c r="M3" s="135" t="str">
        <f>VLOOKUP(M2,DEZ_2010!$U$8:$V$22,2,FALSE)</f>
        <v>GESTÃO CONTAS PAI</v>
      </c>
      <c r="N3" s="135" t="str">
        <f>VLOOKUP(N2,DEZ_2010!$U$8:$V$22,2,FALSE)</f>
        <v>MANUTENÇÃO CARRO</v>
      </c>
      <c r="O3" s="135" t="str">
        <f>VLOOKUP(O2,DEZ_2010!$U$8:$V$22,2,FALSE)</f>
        <v>DATAS COMEMORATIVAS</v>
      </c>
      <c r="P3" s="135" t="str">
        <f>VLOOKUP(P2,DEZ_2010!$U$8:$V$22,2,FALSE)</f>
        <v>INDEFINIDO</v>
      </c>
      <c r="Q3" s="136">
        <f>VLOOKUP(Q2,DEZ_2010!$U$8:$V$22,2,FALSE)</f>
        <v>0</v>
      </c>
    </row>
    <row r="4" spans="2:17" s="40" customFormat="1" ht="6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</row>
    <row r="5" spans="2:17" ht="12.75">
      <c r="B5" s="50">
        <v>40179</v>
      </c>
      <c r="C5" s="46">
        <f>SUMIF(JAN_2010!$D$7:$D$47,RESUMO!$C$2,JAN_2010!$G$7:$G$47)</f>
        <v>217.24</v>
      </c>
      <c r="D5" s="46">
        <f>SUMIF(JAN_2010!$D$7:$D$47,RESUMO!$D$2,JAN_2010!$G$7:$G$47)</f>
        <v>350</v>
      </c>
      <c r="E5" s="46">
        <f>SUMIF(JAN_2010!$D$7:$D$47,RESUMO!$E$2,JAN_2010!$G$7:$G$47)</f>
        <v>0</v>
      </c>
      <c r="F5" s="46">
        <f>SUMIF(JAN_2010!$D$7:$D$47,RESUMO!$F$2,JAN_2010!$G$7:$G$47)</f>
        <v>0</v>
      </c>
      <c r="G5" s="46">
        <f>SUMIF(JAN_2010!$D$7:$D$47,RESUMO!$G$2,JAN_2010!$G$7:$G$47)</f>
        <v>0</v>
      </c>
      <c r="H5" s="46">
        <f>SUMIF(JAN_2010!$D$7:$D$47,RESUMO!$H$2,JAN_2010!$G$7:$G$47)</f>
        <v>160</v>
      </c>
      <c r="I5" s="46">
        <f>SUMIF(JAN_2010!$D$7:$D$47,RESUMO!$I$2,JAN_2010!$G$7:$G$47)</f>
        <v>0</v>
      </c>
      <c r="J5" s="46">
        <f>SUMIF(JAN_2010!$D$7:$D$47,RESUMO!$J$2,JAN_2010!$G$7:$G$47)</f>
        <v>62</v>
      </c>
      <c r="K5" s="46">
        <f>SUMIF(JAN_2010!$D$7:$D$47,RESUMO!$K$2,JAN_2010!$G$7:$G$47)</f>
        <v>10</v>
      </c>
      <c r="L5" s="46">
        <f>SUMIF(JAN_2010!$D$7:$D$47,RESUMO!$L$2,JAN_2010!$G$7:$G$47)</f>
        <v>45.16</v>
      </c>
      <c r="M5" s="46">
        <f>SUMIF(JAN_2010!$D$7:$D$47,RESUMO!$M$2,JAN_2010!$G$7:$G$47)</f>
        <v>0</v>
      </c>
      <c r="N5" s="46">
        <f>SUMIF(JAN_2010!$D$7:$D$47,RESUMO!$N$2,JAN_2010!$G$7:$G$47)</f>
        <v>0</v>
      </c>
      <c r="O5" s="46">
        <f>SUMIF(JAN_2010!$D$7:$D$47,RESUMO!$O$2,JAN_2010!$G$7:$G$47)</f>
        <v>19.9</v>
      </c>
      <c r="P5" s="46">
        <f>SUMIF(JAN_2010!$D$7:$D$47,RESUMO!$P$2,JAN_2010!$G$7:$G$47)</f>
        <v>0</v>
      </c>
      <c r="Q5" s="47">
        <f>SUMIF(JAN_2010!$D$7:$D$47,RESUMO!$Q$2,JAN_2010!$G$7:$G$47)</f>
        <v>0</v>
      </c>
    </row>
    <row r="6" spans="2:17" ht="12.75">
      <c r="B6" s="50">
        <v>40210</v>
      </c>
      <c r="C6" s="46">
        <f>SUMIF(FEV_2010!$D$7:$D$47,RESUMO!$C$2,FEV_2010!$G$7:$G$47)</f>
        <v>557.24</v>
      </c>
      <c r="D6" s="46">
        <f>SUMIF(FEV_2010!$D$7:$D$47,RESUMO!$D$2,FEV_2010!$G$7:$G$47)</f>
        <v>506.8</v>
      </c>
      <c r="E6" s="46">
        <f>SUMIF(FEV_2010!$D$7:$D$47,RESUMO!$E$2,FEV_2010!$G$7:$G$47)</f>
        <v>240</v>
      </c>
      <c r="F6" s="46">
        <f>SUMIF(FEV_2010!$D$7:$D$47,RESUMO!$F$2,FEV_2010!$G$7:$G$47)</f>
        <v>0</v>
      </c>
      <c r="G6" s="46">
        <f>SUMIF(FEV_2010!$D$7:$D$47,RESUMO!$G$2,FEV_2010!$G$7:$G$47)</f>
        <v>0</v>
      </c>
      <c r="H6" s="46">
        <f>SUMIF(FEV_2010!$D$7:$D$47,RESUMO!$H$2,FEV_2010!$G$7:$G$47)</f>
        <v>800</v>
      </c>
      <c r="I6" s="46">
        <f>SUMIF(FEV_2010!$D$7:$D$47,RESUMO!$I$2,FEV_2010!$G$7:$G$47)</f>
        <v>0</v>
      </c>
      <c r="J6" s="46">
        <f>SUMIF(FEV_2010!$D$7:$D$47,RESUMO!$J$2,FEV_2010!$G$7:$G$47)</f>
        <v>12</v>
      </c>
      <c r="K6" s="46">
        <f>SUMIF(FEV_2010!$D$7:$D$47,RESUMO!$K$2,FEV_2010!$G$7:$G$47)</f>
        <v>0</v>
      </c>
      <c r="L6" s="46">
        <f>SUMIF(FEV_2010!$D$7:$D$47,RESUMO!$L$2,FEV_2010!$G$7:$G$47)</f>
        <v>65</v>
      </c>
      <c r="M6" s="46">
        <f>SUMIF(FEV_2010!$D$7:$D$47,RESUMO!$M$2,FEV_2010!$G$7:$G$47)</f>
        <v>0</v>
      </c>
      <c r="N6" s="46">
        <f>SUMIF(FEV_2010!$D$7:$D$47,RESUMO!$N$2,FEV_2010!$G$7:$G$47)</f>
        <v>0</v>
      </c>
      <c r="O6" s="46">
        <f>SUMIF(FEV_2010!$D$7:$D$47,RESUMO!$O$2,FEV_2010!$G$7:$G$47)</f>
        <v>59.9</v>
      </c>
      <c r="P6" s="46">
        <f>SUMIF(FEV_2010!$D$7:$D$47,RESUMO!$P$2,FEV_2010!$G$7:$G$47)</f>
        <v>0</v>
      </c>
      <c r="Q6" s="47">
        <f>SUMIF(FEV_2010!$D$7:$D$47,RESUMO!$Q$2,FEV_2010!$G$7:$G$47)</f>
        <v>0</v>
      </c>
    </row>
    <row r="7" spans="2:17" ht="12.75">
      <c r="B7" s="50">
        <v>40238</v>
      </c>
      <c r="C7" s="46">
        <f>SUMIF(MAR_2010!$D$7:$D$47,RESUMO!$C$2,MAR_2010!$G$7:$G$47)</f>
        <v>287.24</v>
      </c>
      <c r="D7" s="46">
        <f>SUMIF(MAR_2010!$D$7:$D$47,RESUMO!$D$2,MAR_2010!$G$7:$G$47)</f>
        <v>621.8</v>
      </c>
      <c r="E7" s="46">
        <f>SUMIF(MAR_2010!$D$7:$D$47,RESUMO!$E$2,MAR_2010!$G$7:$G$47)</f>
        <v>240</v>
      </c>
      <c r="F7" s="46">
        <f>SUMIF(MAR_2010!$D$7:$D$47,RESUMO!$F$2,MAR_2010!$G$7:$G$47)</f>
        <v>0</v>
      </c>
      <c r="G7" s="46">
        <f>SUMIF(MAR_2010!$D$7:$D$47,RESUMO!$G$2,MAR_2010!$G$7:$G$47)</f>
        <v>0</v>
      </c>
      <c r="H7" s="46">
        <f>SUMIF(MAR_2010!$D$7:$D$47,RESUMO!$H$2,MAR_2010!$G$7:$G$47)</f>
        <v>1700</v>
      </c>
      <c r="I7" s="46">
        <f>SUMIF(MAR_2010!$D$7:$D$47,RESUMO!$I$2,MAR_2010!$G$7:$G$47)</f>
        <v>0</v>
      </c>
      <c r="J7" s="46">
        <f>SUMIF(MAR_2010!$D$7:$D$47,RESUMO!$J$2,MAR_2010!$G$7:$G$47)</f>
        <v>12</v>
      </c>
      <c r="K7" s="46">
        <f>SUMIF(MAR_2010!$D$7:$D$47,RESUMO!$K$2,MAR_2010!$G$7:$G$47)</f>
        <v>0</v>
      </c>
      <c r="L7" s="46">
        <f>SUMIF(MAR_2010!$D$7:$D$47,RESUMO!$L$2,MAR_2010!$G$7:$G$47)</f>
        <v>65</v>
      </c>
      <c r="M7" s="46">
        <f>SUMIF(MAR_2010!$D$7:$D$47,RESUMO!$M$2,MAR_2010!$G$7:$G$47)</f>
        <v>0</v>
      </c>
      <c r="N7" s="46">
        <f>SUMIF(MAR_2010!$D$7:$D$47,RESUMO!$N$2,MAR_2010!$G$7:$G$47)</f>
        <v>0</v>
      </c>
      <c r="O7" s="46">
        <f>SUMIF(MAR_2010!$D$7:$D$47,RESUMO!$O$2,MAR_2010!$G$7:$G$47)</f>
        <v>40</v>
      </c>
      <c r="P7" s="46">
        <f>SUMIF(MAR_2010!$D$7:$D$47,RESUMO!$P$2,MAR_2010!$G$7:$G$47)</f>
        <v>0</v>
      </c>
      <c r="Q7" s="47">
        <f>SUMIF(MAR_2010!$D$7:$D$47,RESUMO!$Q$2,MAR_2010!$G$7:$G$47)</f>
        <v>0</v>
      </c>
    </row>
    <row r="8" spans="2:17" ht="12.75">
      <c r="B8" s="50">
        <v>40269</v>
      </c>
      <c r="C8" s="46">
        <f>SUMIF(ABR_2010!$D$7:$D$47,RESUMO!$C$2,ABR_2010!$G$7:$G$47)</f>
        <v>165</v>
      </c>
      <c r="D8" s="46">
        <f>SUMIF(ABR_2010!$D$7:$D$47,RESUMO!$D$2,ABR_2010!$G$7:$G$47)</f>
        <v>371.8</v>
      </c>
      <c r="E8" s="46">
        <f>SUMIF(ABR_2010!$D$7:$D$47,RESUMO!$E$2,ABR_2010!$G$7:$G$47)</f>
        <v>240</v>
      </c>
      <c r="F8" s="46">
        <f>SUMIF(ABR_2010!$D$7:$D$47,RESUMO!$F$2,ABR_2010!$G$7:$G$47)</f>
        <v>0</v>
      </c>
      <c r="G8" s="46">
        <f>SUMIF(ABR_2010!$D$7:$D$47,RESUMO!$G$2,ABR_2010!$G$7:$G$47)</f>
        <v>0</v>
      </c>
      <c r="H8" s="46">
        <f>SUMIF(ABR_2010!$D$7:$D$47,RESUMO!$H$2,ABR_2010!$G$7:$G$47)</f>
        <v>1120</v>
      </c>
      <c r="I8" s="46">
        <f>SUMIF(ABR_2010!$D$7:$D$47,RESUMO!$I$2,ABR_2010!$G$7:$G$47)</f>
        <v>0</v>
      </c>
      <c r="J8" s="46">
        <f>SUMIF(ABR_2010!$D$7:$D$47,RESUMO!$J$2,ABR_2010!$G$7:$G$47)</f>
        <v>12</v>
      </c>
      <c r="K8" s="46">
        <f>SUMIF(ABR_2010!$D$7:$D$47,RESUMO!$K$2,ABR_2010!$G$7:$G$47)</f>
        <v>0</v>
      </c>
      <c r="L8" s="46">
        <f>SUMIF(ABR_2010!$D$7:$D$47,RESUMO!$L$2,ABR_2010!$G$7:$G$47)</f>
        <v>65</v>
      </c>
      <c r="M8" s="46">
        <f>SUMIF(ABR_2010!$D$7:$D$47,RESUMO!$M$2,ABR_2010!$G$7:$G$47)</f>
        <v>0</v>
      </c>
      <c r="N8" s="46">
        <f>SUMIF(ABR_2010!$D$7:$D$47,RESUMO!$N$2,ABR_2010!$G$7:$G$47)</f>
        <v>0</v>
      </c>
      <c r="O8" s="46">
        <f>SUMIF(ABR_2010!$D$7:$D$47,RESUMO!$O$2,ABR_2010!$G$7:$G$47)</f>
        <v>0</v>
      </c>
      <c r="P8" s="46">
        <f>SUMIF(ABR_2010!$D$7:$D$47,RESUMO!$P$2,ABR_2010!$G$7:$G$47)</f>
        <v>0</v>
      </c>
      <c r="Q8" s="47">
        <f>SUMIF(ABR_2010!$D$7:$D$47,RESUMO!$Q$2,ABR_2010!$G$7:$G$47)</f>
        <v>0</v>
      </c>
    </row>
    <row r="9" spans="2:17" ht="12.75">
      <c r="B9" s="50">
        <v>40299</v>
      </c>
      <c r="C9" s="46">
        <f>SUMIF(MAI_2010!$D$7:$D$47,RESUMO!$C$2,MAI_2010!$G$7:$G$47)</f>
        <v>165</v>
      </c>
      <c r="D9" s="46">
        <f>SUMIF(MAI_2010!$D$7:$D$47,RESUMO!$D$2,MAI_2010!$G$7:$G$47)</f>
        <v>191.8</v>
      </c>
      <c r="E9" s="46">
        <f>SUMIF(MAI_2010!$D$7:$D$47,RESUMO!$E$2,MAI_2010!$G$7:$G$47)</f>
        <v>240</v>
      </c>
      <c r="F9" s="46">
        <f>SUMIF(MAI_2010!$D$7:$D$47,RESUMO!$F$2,MAI_2010!$G$7:$G$47)</f>
        <v>0</v>
      </c>
      <c r="G9" s="46">
        <f>SUMIF(MAI_2010!$D$7:$D$47,RESUMO!$G$2,MAI_2010!$G$7:$G$47)</f>
        <v>0</v>
      </c>
      <c r="H9" s="46">
        <f>SUMIF(MAI_2010!$D$7:$D$47,RESUMO!$H$2,MAI_2010!$G$7:$G$47)</f>
        <v>1300</v>
      </c>
      <c r="I9" s="46">
        <f>SUMIF(MAI_2010!$D$7:$D$47,RESUMO!$I$2,MAI_2010!$G$7:$G$47)</f>
        <v>0</v>
      </c>
      <c r="J9" s="46">
        <f>SUMIF(MAI_2010!$D$7:$D$47,RESUMO!$J$2,MAI_2010!$G$7:$G$47)</f>
        <v>12</v>
      </c>
      <c r="K9" s="46">
        <f>SUMIF(MAI_2010!$D$7:$D$47,RESUMO!$K$2,MAI_2010!$G$7:$G$47)</f>
        <v>0</v>
      </c>
      <c r="L9" s="46">
        <f>SUMIF(MAI_2010!$D$7:$D$47,RESUMO!$L$2,MAI_2010!$G$7:$G$47)</f>
        <v>65</v>
      </c>
      <c r="M9" s="46">
        <f>SUMIF(MAI_2010!$D$7:$D$47,RESUMO!$M$2,MAI_2010!$G$7:$G$47)</f>
        <v>0</v>
      </c>
      <c r="N9" s="46">
        <f>SUMIF(MAI_2010!$D$7:$D$47,RESUMO!$N$2,MAI_2010!$G$7:$G$47)</f>
        <v>0</v>
      </c>
      <c r="O9" s="46">
        <f>SUMIF(MAI_2010!$D$7:$D$47,RESUMO!$O$2,MAI_2010!$G$7:$G$47)</f>
        <v>0</v>
      </c>
      <c r="P9" s="46">
        <f>SUMIF(MAI_2010!$D$7:$D$47,RESUMO!$P$2,MAI_2010!$G$7:$G$47)</f>
        <v>0</v>
      </c>
      <c r="Q9" s="47">
        <f>SUMIF(MAI_2010!$D$7:$D$47,RESUMO!$Q$2,MAI_2010!$G$7:$G$47)</f>
        <v>0</v>
      </c>
    </row>
    <row r="10" spans="2:17" ht="12.75">
      <c r="B10" s="50">
        <v>40330</v>
      </c>
      <c r="C10" s="46">
        <f>SUMIF(JUN_2010!$D$7:$D$47,RESUMO!$C$2,JUN_2010!$G$7:$G$47)</f>
        <v>435</v>
      </c>
      <c r="D10" s="46">
        <f>SUMIF(JUN_2010!$D$7:$D$47,RESUMO!$D$2,JUN_2010!$G$7:$G$47)</f>
        <v>151.8</v>
      </c>
      <c r="E10" s="46">
        <f>SUMIF(JUN_2010!$D$7:$D$47,RESUMO!$E$2,JUN_2010!$G$7:$G$47)</f>
        <v>240</v>
      </c>
      <c r="F10" s="46">
        <f>SUMIF(JUN_2010!$D$7:$D$47,RESUMO!$F$2,JUN_2010!$G$7:$G$47)</f>
        <v>0</v>
      </c>
      <c r="G10" s="46">
        <f>SUMIF(JUN_2010!$D$7:$D$47,RESUMO!$G$2,JUN_2010!$G$7:$G$47)</f>
        <v>0</v>
      </c>
      <c r="H10" s="46">
        <f>SUMIF(JUN_2010!$D$7:$D$47,RESUMO!$H$2,JUN_2010!$G$7:$G$47)</f>
        <v>1100</v>
      </c>
      <c r="I10" s="46">
        <f>SUMIF(JUN_2010!$D$7:$D$47,RESUMO!$I$2,JUN_2010!$G$7:$G$47)</f>
        <v>0</v>
      </c>
      <c r="J10" s="46">
        <f>SUMIF(JUN_2010!$D$7:$D$47,RESUMO!$J$2,JUN_2010!$G$7:$G$47)</f>
        <v>12</v>
      </c>
      <c r="K10" s="46">
        <f>SUMIF(JUN_2010!$D$7:$D$47,RESUMO!$K$2,JUN_2010!$G$7:$G$47)</f>
        <v>0</v>
      </c>
      <c r="L10" s="46">
        <f>SUMIF(JUN_2010!$D$7:$D$47,RESUMO!$L$2,JUN_2010!$G$7:$G$47)</f>
        <v>65</v>
      </c>
      <c r="M10" s="46">
        <f>SUMIF(JUN_2010!$D$7:$D$47,RESUMO!$M$2,JUN_2010!$G$7:$G$47)</f>
        <v>0</v>
      </c>
      <c r="N10" s="46">
        <f>SUMIF(JUN_2010!$D$7:$D$47,RESUMO!$N$2,JUN_2010!$G$7:$G$47)</f>
        <v>0</v>
      </c>
      <c r="O10" s="46">
        <f>SUMIF(JUN_2010!$D$7:$D$47,RESUMO!$O$2,JUN_2010!$G$7:$G$47)</f>
        <v>0</v>
      </c>
      <c r="P10" s="46">
        <f>SUMIF(JUN_2010!$D$7:$D$47,RESUMO!$P$2,JUN_2010!$G$7:$G$47)</f>
        <v>0</v>
      </c>
      <c r="Q10" s="47">
        <f>SUMIF(JUN_2010!$D$7:$D$47,RESUMO!$Q$2,JUN_2010!$G$7:$G$47)</f>
        <v>0</v>
      </c>
    </row>
    <row r="11" spans="2:17" ht="12.75">
      <c r="B11" s="50">
        <v>40360</v>
      </c>
      <c r="C11" s="46">
        <f>SUMIF(JUL_2010!$D$7:$D$47,RESUMO!$C$2,JUL_2010!$G$7:$G$47)</f>
        <v>165</v>
      </c>
      <c r="D11" s="46">
        <f>SUMIF(JUL_2010!$D$7:$D$47,RESUMO!$D$2,JUL_2010!$G$7:$G$47)</f>
        <v>151.8</v>
      </c>
      <c r="E11" s="46">
        <f>SUMIF(JUL_2010!$D$7:$D$47,RESUMO!$E$2,JUL_2010!$G$7:$G$47)</f>
        <v>240</v>
      </c>
      <c r="F11" s="46">
        <f>SUMIF(JUL_2010!$D$7:$D$47,RESUMO!$F$2,JUL_2010!$G$7:$G$47)</f>
        <v>0</v>
      </c>
      <c r="G11" s="46">
        <f>SUMIF(JUL_2010!$D$7:$D$47,RESUMO!$G$2,JUL_2010!$G$7:$G$47)</f>
        <v>0</v>
      </c>
      <c r="H11" s="46">
        <f>SUMIF(JUL_2010!$D$7:$D$47,RESUMO!$H$2,JUL_2010!$G$7:$G$47)</f>
        <v>1350</v>
      </c>
      <c r="I11" s="46">
        <f>SUMIF(JUL_2010!$D$7:$D$47,RESUMO!$I$2,JUL_2010!$G$7:$G$47)</f>
        <v>0</v>
      </c>
      <c r="J11" s="46">
        <f>SUMIF(JUL_2010!$D$7:$D$47,RESUMO!$J$2,JUL_2010!$G$7:$G$47)</f>
        <v>12</v>
      </c>
      <c r="K11" s="46">
        <f>SUMIF(JUL_2010!$D$7:$D$47,RESUMO!$K$2,JUL_2010!$G$7:$G$47)</f>
        <v>0</v>
      </c>
      <c r="L11" s="46">
        <f>SUMIF(JUL_2010!$D$7:$D$47,RESUMO!$L$2,JUL_2010!$G$7:$G$47)</f>
        <v>65</v>
      </c>
      <c r="M11" s="46">
        <f>SUMIF(JUL_2010!$D$7:$D$47,RESUMO!$M$2,JUL_2010!$G$7:$G$47)</f>
        <v>0</v>
      </c>
      <c r="N11" s="46">
        <f>SUMIF(JUL_2010!$D$7:$D$47,RESUMO!$N$2,JUL_2010!$G$7:$G$47)</f>
        <v>0</v>
      </c>
      <c r="O11" s="46">
        <f>SUMIF(JUL_2010!$D$7:$D$47,RESUMO!$O$2,JUL_2010!$G$7:$G$47)</f>
        <v>0</v>
      </c>
      <c r="P11" s="46">
        <f>SUMIF(JUL_2010!$D$7:$D$47,RESUMO!$P$2,JUL_2010!$G$7:$G$47)</f>
        <v>0</v>
      </c>
      <c r="Q11" s="47">
        <f>SUMIF(JUL_2010!$D$7:$D$47,RESUMO!$Q$2,JUL_2010!$G$7:$G$47)</f>
        <v>0</v>
      </c>
    </row>
    <row r="12" spans="2:17" ht="12.75">
      <c r="B12" s="50">
        <v>40391</v>
      </c>
      <c r="C12" s="46">
        <f>SUMIF(AGO_2010!$D$7:$D$47,RESUMO!$C$2,AGO_2010!$G$7:$G$47)</f>
        <v>165</v>
      </c>
      <c r="D12" s="46">
        <f>SUMIF(AGO_2010!$D$7:$D$47,RESUMO!$D$2,AGO_2010!$G$7:$G$47)</f>
        <v>151.8</v>
      </c>
      <c r="E12" s="46">
        <f>SUMIF(AGO_2010!$D$7:$D$47,RESUMO!$E$2,AGO_2010!$G$7:$G$47)</f>
        <v>240</v>
      </c>
      <c r="F12" s="46">
        <f>SUMIF(AGO_2010!$D$7:$D$47,RESUMO!$F$2,AGO_2010!$G$7:$G$47)</f>
        <v>350</v>
      </c>
      <c r="G12" s="46">
        <f>SUMIF(AGO_2010!$D$7:$D$47,RESUMO!$G$2,AGO_2010!$G$7:$G$47)</f>
        <v>0</v>
      </c>
      <c r="H12" s="46">
        <f>SUMIF(AGO_2010!$D$7:$D$47,RESUMO!$H$2,AGO_2010!$G$7:$G$47)</f>
        <v>1000</v>
      </c>
      <c r="I12" s="46">
        <f>SUMIF(AGO_2010!$D$7:$D$47,RESUMO!$I$2,AGO_2010!$G$7:$G$47)</f>
        <v>0</v>
      </c>
      <c r="J12" s="46">
        <f>SUMIF(AGO_2010!$D$7:$D$47,RESUMO!$J$2,AGO_2010!$G$7:$G$47)</f>
        <v>12</v>
      </c>
      <c r="K12" s="46">
        <f>SUMIF(AGO_2010!$D$7:$D$47,RESUMO!$K$2,AGO_2010!$G$7:$G$47)</f>
        <v>0</v>
      </c>
      <c r="L12" s="46">
        <f>SUMIF(AGO_2010!$D$7:$D$47,RESUMO!$L$2,AGO_2010!$G$7:$G$47)</f>
        <v>65</v>
      </c>
      <c r="M12" s="46">
        <f>SUMIF(AGO_2010!$D$7:$D$47,RESUMO!$M$2,AGO_2010!$G$7:$G$47)</f>
        <v>0</v>
      </c>
      <c r="N12" s="46">
        <f>SUMIF(AGO_2010!$D$7:$D$47,RESUMO!$N$2,AGO_2010!$G$7:$G$47)</f>
        <v>0</v>
      </c>
      <c r="O12" s="46">
        <f>SUMIF(AGO_2010!$D$7:$D$47,RESUMO!$O$2,AGO_2010!$G$7:$G$47)</f>
        <v>0</v>
      </c>
      <c r="P12" s="46">
        <f>SUMIF(AGO_2010!$D$7:$D$47,RESUMO!$P$2,AGO_2010!$G$7:$G$47)</f>
        <v>0</v>
      </c>
      <c r="Q12" s="47">
        <f>SUMIF(AGO_2010!$D$7:$D$47,RESUMO!$Q$2,AGO_2010!$G$7:$G$47)</f>
        <v>0</v>
      </c>
    </row>
    <row r="13" spans="2:17" ht="12.75">
      <c r="B13" s="50">
        <v>40422</v>
      </c>
      <c r="C13" s="46">
        <f>SUMIF(SET_2010!$D$7:$D$47,RESUMO!$C$2,SET_2010!$G$7:$G$47)</f>
        <v>165</v>
      </c>
      <c r="D13" s="46">
        <f>SUMIF(SET_2010!$D$7:$D$47,RESUMO!$D$2,SET_2010!$G$7:$G$47)</f>
        <v>351.8</v>
      </c>
      <c r="E13" s="46">
        <f>SUMIF(SET_2010!$D$7:$D$47,RESUMO!$E$2,SET_2010!$G$7:$G$47)</f>
        <v>240</v>
      </c>
      <c r="F13" s="46">
        <f>SUMIF(SET_2010!$D$7:$D$47,RESUMO!$F$2,SET_2010!$G$7:$G$47)</f>
        <v>140</v>
      </c>
      <c r="G13" s="46">
        <f>SUMIF(SET_2010!$D$7:$D$47,RESUMO!$G$2,SET_2010!$G$7:$G$47)</f>
        <v>0</v>
      </c>
      <c r="H13" s="46">
        <f>SUMIF(SET_2010!$D$7:$D$47,RESUMO!$H$2,SET_2010!$G$7:$G$47)</f>
        <v>1000</v>
      </c>
      <c r="I13" s="46">
        <f>SUMIF(SET_2010!$D$7:$D$47,RESUMO!$I$2,SET_2010!$G$7:$G$47)</f>
        <v>0</v>
      </c>
      <c r="J13" s="46">
        <f>SUMIF(SET_2010!$D$7:$D$47,RESUMO!$J$2,SET_2010!$G$7:$G$47)</f>
        <v>12</v>
      </c>
      <c r="K13" s="46">
        <f>SUMIF(SET_2010!$D$7:$D$47,RESUMO!$K$2,SET_2010!$G$7:$G$47)</f>
        <v>0</v>
      </c>
      <c r="L13" s="46">
        <f>SUMIF(SET_2010!$D$7:$D$47,RESUMO!$L$2,SET_2010!$G$7:$G$47)</f>
        <v>65</v>
      </c>
      <c r="M13" s="46">
        <f>SUMIF(SET_2010!$D$7:$D$47,RESUMO!$M$2,SET_2010!$G$7:$G$47)</f>
        <v>0</v>
      </c>
      <c r="N13" s="46">
        <f>SUMIF(SET_2010!$D$7:$D$47,RESUMO!$N$2,SET_2010!$G$7:$G$47)</f>
        <v>0</v>
      </c>
      <c r="O13" s="46">
        <f>SUMIF(SET_2010!$D$7:$D$47,RESUMO!$O$2,SET_2010!$G$7:$G$47)</f>
        <v>0</v>
      </c>
      <c r="P13" s="46">
        <f>SUMIF(SET_2010!$D$7:$D$47,RESUMO!$P$2,SET_2010!$G$7:$G$47)</f>
        <v>0</v>
      </c>
      <c r="Q13" s="47">
        <f>SUMIF(SET_2010!$D$7:$D$47,RESUMO!$Q$2,SET_2010!$G$7:$G$47)</f>
        <v>0</v>
      </c>
    </row>
    <row r="14" spans="2:17" ht="12.75">
      <c r="B14" s="50">
        <v>40452</v>
      </c>
      <c r="C14" s="46">
        <f>SUMIF(OUT_2010!$D$7:$D$47,RESUMO!$C$2,OUT_2010!$G$7:$G$47)</f>
        <v>65</v>
      </c>
      <c r="D14" s="46">
        <f>SUMIF(OUT_2010!$D$7:$D$47,RESUMO!$D$2,OUT_2010!$G$7:$G$47)</f>
        <v>151.8</v>
      </c>
      <c r="E14" s="46">
        <f>SUMIF(OUT_2010!$D$7:$D$47,RESUMO!$E$2,OUT_2010!$G$7:$G$47)</f>
        <v>240</v>
      </c>
      <c r="F14" s="46">
        <f>SUMIF(OUT_2010!$D$7:$D$47,RESUMO!$F$2,OUT_2010!$G$7:$G$47)</f>
        <v>440</v>
      </c>
      <c r="G14" s="46">
        <f>SUMIF(OUT_2010!$D$7:$D$47,RESUMO!$G$2,OUT_2010!$G$7:$G$47)</f>
        <v>0</v>
      </c>
      <c r="H14" s="46">
        <f>SUMIF(OUT_2010!$D$7:$D$47,RESUMO!$H$2,OUT_2010!$G$7:$G$47)</f>
        <v>1000</v>
      </c>
      <c r="I14" s="46">
        <f>SUMIF(OUT_2010!$D$7:$D$47,RESUMO!$I$2,OUT_2010!$G$7:$G$47)</f>
        <v>0</v>
      </c>
      <c r="J14" s="46">
        <f>SUMIF(OUT_2010!$D$7:$D$47,RESUMO!$J$2,OUT_2010!$G$7:$G$47)</f>
        <v>12</v>
      </c>
      <c r="K14" s="46">
        <f>SUMIF(OUT_2010!$D$7:$D$47,RESUMO!$K$2,OUT_2010!$G$7:$G$47)</f>
        <v>0</v>
      </c>
      <c r="L14" s="46">
        <f>SUMIF(OUT_2010!$D$7:$D$47,RESUMO!$L$2,OUT_2010!$G$7:$G$47)</f>
        <v>65</v>
      </c>
      <c r="M14" s="46">
        <f>SUMIF(OUT_2010!$D$7:$D$47,RESUMO!$M$2,OUT_2010!$G$7:$G$47)</f>
        <v>0</v>
      </c>
      <c r="N14" s="46">
        <f>SUMIF(OUT_2010!$D$7:$D$47,RESUMO!$N$2,OUT_2010!$G$7:$G$47)</f>
        <v>0</v>
      </c>
      <c r="O14" s="46">
        <f>SUMIF(OUT_2010!$D$7:$D$47,RESUMO!$O$2,OUT_2010!$G$7:$G$47)</f>
        <v>0</v>
      </c>
      <c r="P14" s="46">
        <f>SUMIF(OUT_2010!$D$7:$D$47,RESUMO!$P$2,OUT_2010!$G$7:$G$47)</f>
        <v>0</v>
      </c>
      <c r="Q14" s="47">
        <f>SUMIF(OUT_2010!$D$7:$D$47,RESUMO!$Q$2,OUT_2010!$G$7:$G$47)</f>
        <v>0</v>
      </c>
    </row>
    <row r="15" spans="2:17" ht="12.75">
      <c r="B15" s="50">
        <v>40483</v>
      </c>
      <c r="C15" s="46">
        <f>SUMIF(NOV_2010!$D$7:$D$47,RESUMO!$C$2,NOV_2010!$G$7:$G$47)</f>
        <v>65</v>
      </c>
      <c r="D15" s="46">
        <f>SUMIF(NOV_2010!$D$7:$D$47,RESUMO!$D$2,NOV_2010!$G$7:$G$47)</f>
        <v>151.8</v>
      </c>
      <c r="E15" s="46">
        <f>SUMIF(NOV_2010!$D$7:$D$47,RESUMO!$E$2,NOV_2010!$G$7:$G$47)</f>
        <v>240</v>
      </c>
      <c r="F15" s="46">
        <f>SUMIF(NOV_2010!$D$7:$D$47,RESUMO!$F$2,NOV_2010!$G$7:$G$47)</f>
        <v>440</v>
      </c>
      <c r="G15" s="46">
        <f>SUMIF(NOV_2010!$D$7:$D$47,RESUMO!$G$2,NOV_2010!$G$7:$G$47)</f>
        <v>0</v>
      </c>
      <c r="H15" s="46">
        <f>SUMIF(NOV_2010!$D$7:$D$47,RESUMO!$H$2,NOV_2010!$G$7:$G$47)</f>
        <v>1000</v>
      </c>
      <c r="I15" s="46">
        <f>SUMIF(NOV_2010!$D$7:$D$47,RESUMO!$I$2,NOV_2010!$G$7:$G$47)</f>
        <v>0</v>
      </c>
      <c r="J15" s="46">
        <f>SUMIF(NOV_2010!$D$7:$D$47,RESUMO!$J$2,NOV_2010!$G$7:$G$47)</f>
        <v>12</v>
      </c>
      <c r="K15" s="46">
        <f>SUMIF(NOV_2010!$D$7:$D$47,RESUMO!$K$2,NOV_2010!$G$7:$G$47)</f>
        <v>0</v>
      </c>
      <c r="L15" s="46">
        <f>SUMIF(NOV_2010!$D$7:$D$47,RESUMO!$L$2,NOV_2010!$G$7:$G$47)</f>
        <v>65</v>
      </c>
      <c r="M15" s="46">
        <f>SUMIF(NOV_2010!$D$7:$D$47,RESUMO!$M$2,NOV_2010!$G$7:$G$47)</f>
        <v>0</v>
      </c>
      <c r="N15" s="46">
        <f>SUMIF(NOV_2010!$D$7:$D$47,RESUMO!$N$2,NOV_2010!$G$7:$G$47)</f>
        <v>0</v>
      </c>
      <c r="O15" s="46">
        <f>SUMIF(NOV_2010!$D$7:$D$47,RESUMO!$O$2,NOV_2010!$G$7:$G$47)</f>
        <v>0</v>
      </c>
      <c r="P15" s="46">
        <f>SUMIF(NOV_2010!$D$7:$D$47,RESUMO!$P$2,NOV_2010!$G$7:$G$47)</f>
        <v>0</v>
      </c>
      <c r="Q15" s="47">
        <f>SUMIF(NOV_2010!$D$7:$D$47,RESUMO!$Q$2,NOV_2010!$G$7:$G$47)</f>
        <v>0</v>
      </c>
    </row>
    <row r="16" spans="2:17" ht="12.75">
      <c r="B16" s="51">
        <v>40513</v>
      </c>
      <c r="C16" s="48">
        <f>SUMIF(DEZ_2010!$D$7:$D$45,RESUMO!$C$2,DEZ_2010!$G$7:$G$45)</f>
        <v>535</v>
      </c>
      <c r="D16" s="48">
        <f>SUMIF(DEZ_2010!$D$7:$D$45,RESUMO!$D$2,DEZ_2010!$G$7:$G$45)</f>
        <v>135</v>
      </c>
      <c r="E16" s="48">
        <f>SUMIF(DEZ_2010!$D$7:$D$45,RESUMO!$E$2,DEZ_2010!$G$7:$G$45)</f>
        <v>240</v>
      </c>
      <c r="F16" s="48">
        <f>SUMIF(DEZ_2010!$D$7:$D$45,RESUMO!$F$2,DEZ_2010!$G$7:$G$45)</f>
        <v>0</v>
      </c>
      <c r="G16" s="48">
        <f>SUMIF(DEZ_2010!$D$7:$D$45,RESUMO!$G$2,DEZ_2010!$G$7:$G$45)</f>
        <v>0</v>
      </c>
      <c r="H16" s="48">
        <f>SUMIF(DEZ_2010!$D$7:$D$45,RESUMO!$H$2,DEZ_2010!$G$7:$G$45)</f>
        <v>1000</v>
      </c>
      <c r="I16" s="48">
        <f>SUMIF(DEZ_2010!$D$7:$D$45,RESUMO!$I$2,DEZ_2010!$G$7:$G$45)</f>
        <v>0</v>
      </c>
      <c r="J16" s="48">
        <f>SUMIF(DEZ_2010!$D$7:$D$45,RESUMO!$J$2,DEZ_2010!$G$7:$G$45)</f>
        <v>12</v>
      </c>
      <c r="K16" s="48">
        <f>SUMIF(DEZ_2010!$D$7:$D$45,RESUMO!$K$2,DEZ_2010!$G$7:$G$45)</f>
        <v>0</v>
      </c>
      <c r="L16" s="48">
        <f>SUMIF(DEZ_2010!$D$7:$D$45,RESUMO!$L$2,DEZ_2010!$G$7:$G$45)</f>
        <v>65</v>
      </c>
      <c r="M16" s="48">
        <f>SUMIF(DEZ_2010!$D$7:$D$45,RESUMO!$M$2,DEZ_2010!$G$7:$G$45)</f>
        <v>0</v>
      </c>
      <c r="N16" s="48">
        <f>SUMIF(DEZ_2010!$D$7:$D$45,RESUMO!$N$2,DEZ_2010!$G$7:$G$45)</f>
        <v>0</v>
      </c>
      <c r="O16" s="48">
        <f>SUMIF(DEZ_2010!$D$7:$D$45,RESUMO!$O$2,DEZ_2010!$G$7:$G$45)</f>
        <v>0</v>
      </c>
      <c r="P16" s="48">
        <f>SUMIF(DEZ_2010!$D$7:$D$45,RESUMO!$P$2,DEZ_2010!$G$7:$G$45)</f>
        <v>0</v>
      </c>
      <c r="Q16" s="49">
        <f>SUMIF(DEZ_2010!$D$7:$D$45,RESUMO!$Q$2,DEZ_2010!$G$7:$G$45)</f>
        <v>0</v>
      </c>
    </row>
    <row r="17" spans="2:3" ht="12.75">
      <c r="B17" s="52"/>
      <c r="C17" s="1"/>
    </row>
    <row r="18" spans="2:17" ht="12.75">
      <c r="B18" s="59" t="s">
        <v>59</v>
      </c>
      <c r="C18" s="61">
        <f>SUM(C5:C16)</f>
        <v>2986.7200000000003</v>
      </c>
      <c r="D18" s="61">
        <f aca="true" t="shared" si="0" ref="D18:Q18">SUM(D5:D16)</f>
        <v>3288.000000000001</v>
      </c>
      <c r="E18" s="61">
        <f t="shared" si="0"/>
        <v>2640</v>
      </c>
      <c r="F18" s="61">
        <f t="shared" si="0"/>
        <v>1370</v>
      </c>
      <c r="G18" s="61">
        <f t="shared" si="0"/>
        <v>0</v>
      </c>
      <c r="H18" s="61">
        <f t="shared" si="0"/>
        <v>12530</v>
      </c>
      <c r="I18" s="61">
        <f t="shared" si="0"/>
        <v>0</v>
      </c>
      <c r="J18" s="61">
        <f t="shared" si="0"/>
        <v>194</v>
      </c>
      <c r="K18" s="61">
        <f t="shared" si="0"/>
        <v>10</v>
      </c>
      <c r="L18" s="61">
        <f t="shared" si="0"/>
        <v>760.16</v>
      </c>
      <c r="M18" s="61">
        <f t="shared" si="0"/>
        <v>0</v>
      </c>
      <c r="N18" s="61">
        <f t="shared" si="0"/>
        <v>0</v>
      </c>
      <c r="O18" s="61">
        <f t="shared" si="0"/>
        <v>119.8</v>
      </c>
      <c r="P18" s="61">
        <f t="shared" si="0"/>
        <v>0</v>
      </c>
      <c r="Q18" s="60">
        <f t="shared" si="0"/>
        <v>0</v>
      </c>
    </row>
    <row r="19" ht="12.75">
      <c r="C19" s="1"/>
    </row>
    <row r="20" spans="2:9" ht="12.75">
      <c r="B20" s="56" t="s">
        <v>60</v>
      </c>
      <c r="C20" s="198" t="s">
        <v>61</v>
      </c>
      <c r="D20" s="198"/>
      <c r="F20" s="41" t="s">
        <v>58</v>
      </c>
      <c r="G20" s="42" t="str">
        <f>IF(I22="","",VLOOKUP(I22,B22:D36,2,FALSE))</f>
        <v>VESTUARIO</v>
      </c>
      <c r="I20" s="20" t="s">
        <v>62</v>
      </c>
    </row>
    <row r="21" spans="2:7" ht="4.5" customHeight="1" thickBot="1">
      <c r="B21" s="57"/>
      <c r="C21" s="57"/>
      <c r="D21" s="58"/>
      <c r="F21" s="43"/>
      <c r="G21" s="45"/>
    </row>
    <row r="22" spans="2:9" ht="13.5" thickBot="1">
      <c r="B22" s="63">
        <v>1</v>
      </c>
      <c r="C22" s="197" t="s">
        <v>6</v>
      </c>
      <c r="D22" s="197"/>
      <c r="F22" s="50">
        <v>40179</v>
      </c>
      <c r="G22" s="47">
        <f>HLOOKUP($I$22,$C$2:$Q$16,4,FALSE)</f>
        <v>217.24</v>
      </c>
      <c r="I22" s="62">
        <v>1</v>
      </c>
    </row>
    <row r="23" spans="2:7" ht="12.75">
      <c r="B23" s="63">
        <v>2</v>
      </c>
      <c r="C23" s="197" t="s">
        <v>7</v>
      </c>
      <c r="D23" s="197"/>
      <c r="F23" s="50">
        <v>40210</v>
      </c>
      <c r="G23" s="47">
        <f>HLOOKUP($I$22,$C$2:$Q$16,5,FALSE)</f>
        <v>557.24</v>
      </c>
    </row>
    <row r="24" spans="2:7" ht="12.75">
      <c r="B24" s="63">
        <v>3</v>
      </c>
      <c r="C24" s="197" t="s">
        <v>8</v>
      </c>
      <c r="D24" s="197"/>
      <c r="F24" s="50">
        <v>40238</v>
      </c>
      <c r="G24" s="47">
        <f>HLOOKUP($I$22,$C$2:$Q$16,6,FALSE)</f>
        <v>287.24</v>
      </c>
    </row>
    <row r="25" spans="2:7" ht="12.75">
      <c r="B25" s="63">
        <v>4</v>
      </c>
      <c r="C25" s="197" t="s">
        <v>9</v>
      </c>
      <c r="D25" s="197"/>
      <c r="F25" s="50">
        <v>40269</v>
      </c>
      <c r="G25" s="47">
        <f>HLOOKUP($I$22,$C$2:$Q$16,7,FALSE)</f>
        <v>165</v>
      </c>
    </row>
    <row r="26" spans="2:7" ht="12.75">
      <c r="B26" s="63">
        <v>5</v>
      </c>
      <c r="C26" s="197" t="s">
        <v>10</v>
      </c>
      <c r="D26" s="197"/>
      <c r="F26" s="50">
        <v>40299</v>
      </c>
      <c r="G26" s="47">
        <f>HLOOKUP($I$22,$C$2:$Q$16,8,FALSE)</f>
        <v>165</v>
      </c>
    </row>
    <row r="27" spans="2:7" ht="12.75">
      <c r="B27" s="63">
        <v>6</v>
      </c>
      <c r="C27" s="197" t="s">
        <v>11</v>
      </c>
      <c r="D27" s="197"/>
      <c r="F27" s="50">
        <v>40330</v>
      </c>
      <c r="G27" s="47">
        <f>HLOOKUP($I$22,$C$2:$Q$16,9,FALSE)</f>
        <v>435</v>
      </c>
    </row>
    <row r="28" spans="2:7" ht="12.75">
      <c r="B28" s="63">
        <v>7</v>
      </c>
      <c r="C28" s="197" t="s">
        <v>12</v>
      </c>
      <c r="D28" s="197"/>
      <c r="F28" s="50">
        <v>40360</v>
      </c>
      <c r="G28" s="47">
        <f>HLOOKUP($I$22,$C$2:$Q$16,10,FALSE)</f>
        <v>165</v>
      </c>
    </row>
    <row r="29" spans="2:7" ht="12.75">
      <c r="B29" s="63">
        <v>8</v>
      </c>
      <c r="C29" s="197" t="s">
        <v>13</v>
      </c>
      <c r="D29" s="197"/>
      <c r="F29" s="50">
        <v>40391</v>
      </c>
      <c r="G29" s="47">
        <f>HLOOKUP($I$22,$C$2:$Q$16,11,FALSE)</f>
        <v>165</v>
      </c>
    </row>
    <row r="30" spans="2:7" ht="12.75">
      <c r="B30" s="63">
        <v>9</v>
      </c>
      <c r="C30" s="197" t="s">
        <v>14</v>
      </c>
      <c r="D30" s="197"/>
      <c r="F30" s="50">
        <v>40422</v>
      </c>
      <c r="G30" s="47">
        <f>HLOOKUP($I$22,$C$2:$Q$16,12,FALSE)</f>
        <v>165</v>
      </c>
    </row>
    <row r="31" spans="2:7" ht="12.75">
      <c r="B31" s="63">
        <v>10</v>
      </c>
      <c r="C31" s="197" t="s">
        <v>42</v>
      </c>
      <c r="D31" s="197"/>
      <c r="F31" s="50">
        <v>40452</v>
      </c>
      <c r="G31" s="47">
        <f>HLOOKUP($I$22,$C$2:$Q$16,13,FALSE)</f>
        <v>65</v>
      </c>
    </row>
    <row r="32" spans="2:7" ht="12.75">
      <c r="B32" s="63">
        <v>11</v>
      </c>
      <c r="C32" s="197" t="s">
        <v>36</v>
      </c>
      <c r="D32" s="197"/>
      <c r="F32" s="50">
        <v>40483</v>
      </c>
      <c r="G32" s="47">
        <f>HLOOKUP($I$22,$C$2:$Q$16,14,FALSE)</f>
        <v>65</v>
      </c>
    </row>
    <row r="33" spans="2:7" ht="12.75">
      <c r="B33" s="63">
        <v>12</v>
      </c>
      <c r="C33" s="197" t="s">
        <v>51</v>
      </c>
      <c r="D33" s="197"/>
      <c r="F33" s="51">
        <v>40513</v>
      </c>
      <c r="G33" s="49">
        <f>HLOOKUP($I$22,$C$2:$Q$16,15,FALSE)</f>
        <v>535</v>
      </c>
    </row>
    <row r="34" spans="2:7" ht="12.75">
      <c r="B34" s="63">
        <v>13</v>
      </c>
      <c r="C34" s="197" t="s">
        <v>52</v>
      </c>
      <c r="D34" s="197"/>
      <c r="F34" s="52"/>
      <c r="G34" s="1"/>
    </row>
    <row r="35" spans="2:4" ht="12.75">
      <c r="B35" s="63">
        <v>14</v>
      </c>
      <c r="C35" s="197" t="s">
        <v>53</v>
      </c>
      <c r="D35" s="197"/>
    </row>
    <row r="36" spans="2:7" ht="12.75">
      <c r="B36" s="63">
        <v>15</v>
      </c>
      <c r="C36" s="197"/>
      <c r="D36" s="197"/>
      <c r="F36" s="59" t="s">
        <v>59</v>
      </c>
      <c r="G36" s="60">
        <f>SUM(G22:G33)</f>
        <v>2986.7200000000003</v>
      </c>
    </row>
  </sheetData>
  <sheetProtection/>
  <autoFilter ref="B4:Q16"/>
  <mergeCells count="16">
    <mergeCell ref="C20:D20"/>
    <mergeCell ref="C22:D22"/>
    <mergeCell ref="C23:D23"/>
    <mergeCell ref="C24:D24"/>
    <mergeCell ref="C25:D25"/>
    <mergeCell ref="C26:D26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1:AF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14062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2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864.3</v>
      </c>
      <c r="H5" s="129"/>
      <c r="I5" s="130">
        <f>SUBTOTAL(9,I7:I46)</f>
        <v>864.3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1890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890</v>
      </c>
      <c r="Y6" s="11" t="s">
        <v>4</v>
      </c>
      <c r="Z6" s="117"/>
    </row>
    <row r="7" spans="2:26" ht="12.75">
      <c r="B7">
        <f>K7</f>
        <v>0</v>
      </c>
      <c r="C7" s="72" t="s">
        <v>75</v>
      </c>
      <c r="D7" s="73">
        <v>10</v>
      </c>
      <c r="E7" s="74" t="str">
        <f aca="true" t="shared" si="0" ref="E7:E17">IF(D7=0,0,VLOOKUP(D7,$U$7:$V$25,2,FALSE))</f>
        <v>SAUDE</v>
      </c>
      <c r="F7" s="74" t="str">
        <f>IF(D7=0,0,VLOOKUP(D7,$U$8:$W$25,3,FALSE))</f>
        <v>CUSTO VARIAVÉL</v>
      </c>
      <c r="G7" s="75">
        <v>15</v>
      </c>
      <c r="H7" s="131" t="s">
        <v>78</v>
      </c>
      <c r="I7" s="137">
        <f>IF(H7="","",G7)</f>
        <v>15</v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890</v>
      </c>
      <c r="S7" s="105" t="s">
        <v>78</v>
      </c>
      <c r="U7" s="118"/>
      <c r="V7" s="116" t="s">
        <v>0</v>
      </c>
      <c r="W7" s="11"/>
      <c r="X7" s="11">
        <f aca="true" t="shared" si="2" ref="X7:X16">IF(S7&lt;&gt;0,R7,0)</f>
        <v>890</v>
      </c>
      <c r="Y7" s="11"/>
      <c r="Z7" s="117"/>
    </row>
    <row r="8" spans="2:26" ht="12.75">
      <c r="B8">
        <f aca="true" t="shared" si="3" ref="B8:B31">K8</f>
        <v>0</v>
      </c>
      <c r="C8" s="79" t="s">
        <v>76</v>
      </c>
      <c r="D8" s="6">
        <v>1</v>
      </c>
      <c r="E8" s="10" t="str">
        <f t="shared" si="0"/>
        <v>VESTUARIO</v>
      </c>
      <c r="F8" s="10" t="str">
        <f aca="true" t="shared" si="4" ref="F8:F31">IF(D8=0,0,VLOOKUP(D8,$U$8:$W$25,3,FALSE))</f>
        <v>CUSTO VARIAVÉL</v>
      </c>
      <c r="G8" s="15">
        <v>30</v>
      </c>
      <c r="H8" s="132" t="s">
        <v>78</v>
      </c>
      <c r="I8" s="138">
        <f aca="true" t="shared" si="5" ref="I8:I47">IF(H8="","",G8)</f>
        <v>30</v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1000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88</v>
      </c>
      <c r="D9" s="6">
        <v>2</v>
      </c>
      <c r="E9" s="10" t="str">
        <f t="shared" si="0"/>
        <v>LAZER</v>
      </c>
      <c r="F9" s="10" t="str">
        <f t="shared" si="4"/>
        <v>CUSTO VARIAVÉL</v>
      </c>
      <c r="G9" s="15">
        <v>200</v>
      </c>
      <c r="H9" s="132" t="s">
        <v>78</v>
      </c>
      <c r="I9" s="138">
        <f t="shared" si="5"/>
        <v>200</v>
      </c>
      <c r="J9" s="12"/>
      <c r="K9" s="13"/>
      <c r="L9" s="80"/>
      <c r="N9" s="79"/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 t="str">
        <f t="shared" si="3"/>
        <v>A</v>
      </c>
      <c r="C10" s="79" t="s">
        <v>79</v>
      </c>
      <c r="D10" s="6">
        <v>1</v>
      </c>
      <c r="E10" s="10" t="str">
        <f t="shared" si="0"/>
        <v>VESTUARIO</v>
      </c>
      <c r="F10" s="10" t="str">
        <f t="shared" si="4"/>
        <v>CUSTO VARIAVÉL</v>
      </c>
      <c r="G10" s="15">
        <v>49.75</v>
      </c>
      <c r="H10" s="132" t="s">
        <v>78</v>
      </c>
      <c r="I10" s="138">
        <f t="shared" si="5"/>
        <v>49.75</v>
      </c>
      <c r="J10" s="12"/>
      <c r="K10" s="13" t="s">
        <v>68</v>
      </c>
      <c r="L10" s="80" t="s">
        <v>81</v>
      </c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 t="str">
        <f t="shared" si="3"/>
        <v>A</v>
      </c>
      <c r="C11" s="79" t="s">
        <v>82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72.49</v>
      </c>
      <c r="H11" s="132" t="s">
        <v>78</v>
      </c>
      <c r="I11" s="138">
        <f t="shared" si="5"/>
        <v>72.49</v>
      </c>
      <c r="J11" s="12"/>
      <c r="K11" s="13" t="s">
        <v>68</v>
      </c>
      <c r="L11" s="80" t="s">
        <v>81</v>
      </c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 t="str">
        <f t="shared" si="3"/>
        <v>A</v>
      </c>
      <c r="C12" s="79" t="s">
        <v>85</v>
      </c>
      <c r="D12" s="6">
        <v>13</v>
      </c>
      <c r="E12" s="10" t="str">
        <f t="shared" si="0"/>
        <v>DATAS COMEMORATIVAS</v>
      </c>
      <c r="F12" s="10" t="str">
        <f t="shared" si="4"/>
        <v>CUSTO VARIAVÉL</v>
      </c>
      <c r="G12" s="15">
        <v>19.9</v>
      </c>
      <c r="H12" s="132" t="s">
        <v>78</v>
      </c>
      <c r="I12" s="138">
        <f t="shared" si="5"/>
        <v>19.9</v>
      </c>
      <c r="J12" s="12"/>
      <c r="K12" s="13" t="s">
        <v>68</v>
      </c>
      <c r="L12" s="80" t="s">
        <v>83</v>
      </c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 t="str">
        <f t="shared" si="3"/>
        <v>A</v>
      </c>
      <c r="C13" s="79" t="s">
        <v>84</v>
      </c>
      <c r="D13" s="6">
        <v>10</v>
      </c>
      <c r="E13" s="10" t="str">
        <f t="shared" si="0"/>
        <v>SAUDE</v>
      </c>
      <c r="F13" s="10" t="str">
        <f t="shared" si="4"/>
        <v>CUSTO VARIAVÉL</v>
      </c>
      <c r="G13" s="15">
        <v>30.16</v>
      </c>
      <c r="H13" s="132" t="s">
        <v>78</v>
      </c>
      <c r="I13" s="138">
        <f t="shared" si="5"/>
        <v>30.16</v>
      </c>
      <c r="J13" s="12"/>
      <c r="K13" s="13" t="s">
        <v>68</v>
      </c>
      <c r="L13" s="80"/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 t="str">
        <f t="shared" si="3"/>
        <v>A</v>
      </c>
      <c r="C14" s="79" t="s">
        <v>86</v>
      </c>
      <c r="D14" s="6">
        <v>1</v>
      </c>
      <c r="E14" s="10" t="str">
        <f t="shared" si="0"/>
        <v>VESTUARIO</v>
      </c>
      <c r="F14" s="10" t="str">
        <f t="shared" si="4"/>
        <v>CUSTO VARIAVÉL</v>
      </c>
      <c r="G14" s="15">
        <v>30</v>
      </c>
      <c r="H14" s="132" t="s">
        <v>78</v>
      </c>
      <c r="I14" s="138">
        <f t="shared" si="5"/>
        <v>30</v>
      </c>
      <c r="J14" s="12"/>
      <c r="K14" s="13" t="s">
        <v>68</v>
      </c>
      <c r="L14" s="80"/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 t="s">
        <v>87</v>
      </c>
      <c r="D15" s="6">
        <v>6</v>
      </c>
      <c r="E15" s="10" t="str">
        <f t="shared" si="0"/>
        <v>TRANSPORTE</v>
      </c>
      <c r="F15" s="10" t="str">
        <f t="shared" si="4"/>
        <v>CUSTO FIXO / VARIAVÉL</v>
      </c>
      <c r="G15" s="15">
        <v>117</v>
      </c>
      <c r="H15" s="132" t="s">
        <v>78</v>
      </c>
      <c r="I15" s="138">
        <f t="shared" si="5"/>
        <v>117</v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89</v>
      </c>
      <c r="D16" s="6">
        <v>2</v>
      </c>
      <c r="E16" s="10" t="str">
        <f t="shared" si="0"/>
        <v>LAZER</v>
      </c>
      <c r="F16" s="10" t="str">
        <f t="shared" si="4"/>
        <v>CUSTO VARIAVÉL</v>
      </c>
      <c r="G16" s="15">
        <v>150</v>
      </c>
      <c r="H16" s="132" t="s">
        <v>78</v>
      </c>
      <c r="I16" s="138">
        <f t="shared" si="5"/>
        <v>150</v>
      </c>
      <c r="J16" s="12"/>
      <c r="K16" s="7"/>
      <c r="L16" s="80"/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 t="s">
        <v>91</v>
      </c>
      <c r="D17" s="6">
        <v>1</v>
      </c>
      <c r="E17" s="10" t="str">
        <f t="shared" si="0"/>
        <v>VESTUARIO</v>
      </c>
      <c r="F17" s="10" t="str">
        <f t="shared" si="4"/>
        <v>CUSTO VARIAVÉL</v>
      </c>
      <c r="G17" s="15">
        <v>35</v>
      </c>
      <c r="H17" s="132" t="s">
        <v>78</v>
      </c>
      <c r="I17" s="138">
        <f t="shared" si="5"/>
        <v>35</v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90</v>
      </c>
      <c r="D18" s="6">
        <v>8</v>
      </c>
      <c r="E18" s="10" t="str">
        <f aca="true" t="shared" si="6" ref="E18:E47">IF(D18=0,0,VLOOKUP(D18,$U$7:$V$25,2,FALSE))</f>
        <v>TELEFONIA</v>
      </c>
      <c r="F18" s="10" t="str">
        <f t="shared" si="4"/>
        <v>CUSTO FIXO</v>
      </c>
      <c r="G18" s="15">
        <v>12</v>
      </c>
      <c r="H18" s="132" t="s">
        <v>78</v>
      </c>
      <c r="I18" s="138">
        <f t="shared" si="5"/>
        <v>12</v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87</v>
      </c>
      <c r="D19" s="6">
        <v>6</v>
      </c>
      <c r="E19" s="10" t="str">
        <f t="shared" si="6"/>
        <v>TRANSPORTE</v>
      </c>
      <c r="F19" s="10" t="str">
        <f t="shared" si="4"/>
        <v>CUSTO FIXO / VARIAVÉL</v>
      </c>
      <c r="G19" s="15">
        <v>43</v>
      </c>
      <c r="H19" s="132" t="s">
        <v>78</v>
      </c>
      <c r="I19" s="138">
        <f t="shared" si="5"/>
        <v>43</v>
      </c>
      <c r="J19" s="12"/>
      <c r="K19" s="7"/>
      <c r="L19" s="80"/>
      <c r="N19" s="195" t="s">
        <v>71</v>
      </c>
      <c r="O19" s="196"/>
      <c r="P19" s="142">
        <f>R5</f>
        <v>1890</v>
      </c>
      <c r="Q19" s="144">
        <v>1</v>
      </c>
      <c r="R19" s="148" t="str">
        <f>VLOOKUP(Q19,U8:V22,2,FALSE)</f>
        <v>VESTUARIO</v>
      </c>
      <c r="S19" s="143">
        <f>SUMIF($D$7:$D$47,Q19,$G$7:$G$47)</f>
        <v>217.24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92</v>
      </c>
      <c r="D20" s="6">
        <v>8</v>
      </c>
      <c r="E20" s="10" t="str">
        <f t="shared" si="6"/>
        <v>TELEFONIA</v>
      </c>
      <c r="F20" s="10" t="str">
        <f t="shared" si="4"/>
        <v>CUSTO FIXO</v>
      </c>
      <c r="G20" s="15">
        <v>50</v>
      </c>
      <c r="H20" s="132" t="s">
        <v>78</v>
      </c>
      <c r="I20" s="138">
        <f t="shared" si="5"/>
        <v>50</v>
      </c>
      <c r="J20" s="12"/>
      <c r="K20" s="7"/>
      <c r="L20" s="80"/>
      <c r="N20" s="169" t="s">
        <v>33</v>
      </c>
      <c r="O20" s="170"/>
      <c r="P20" s="109">
        <f>X6</f>
        <v>890</v>
      </c>
      <c r="Q20" s="145">
        <v>2</v>
      </c>
      <c r="R20" s="148" t="str">
        <f aca="true" t="shared" si="7" ref="R20:R32">VLOOKUP(Q20,U9:V23,2,FALSE)</f>
        <v>LAZER</v>
      </c>
      <c r="S20" s="143">
        <f aca="true" t="shared" si="8" ref="S20:S32">SUMIF($D$7:$D$47,Q20,$G$7:$G$47)</f>
        <v>350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 t="s">
        <v>98</v>
      </c>
      <c r="D21" s="6">
        <v>9</v>
      </c>
      <c r="E21" s="10" t="str">
        <f t="shared" si="6"/>
        <v>DEPENDENTES</v>
      </c>
      <c r="F21" s="10" t="str">
        <f t="shared" si="4"/>
        <v>CUSTO FIXO</v>
      </c>
      <c r="G21" s="15">
        <v>10</v>
      </c>
      <c r="H21" s="132" t="s">
        <v>78</v>
      </c>
      <c r="I21" s="138">
        <f t="shared" si="5"/>
        <v>10</v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7"/>
        <v>EDUCAÇÃO</v>
      </c>
      <c r="S21" s="143">
        <f t="shared" si="8"/>
        <v>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>
        <f t="shared" si="3"/>
        <v>0</v>
      </c>
      <c r="C22" s="79"/>
      <c r="D22" s="6"/>
      <c r="E22" s="10">
        <f t="shared" si="6"/>
        <v>0</v>
      </c>
      <c r="F22" s="10">
        <f t="shared" si="4"/>
        <v>0</v>
      </c>
      <c r="G22" s="15"/>
      <c r="H22" s="132"/>
      <c r="I22" s="138">
        <f t="shared" si="5"/>
      </c>
      <c r="J22" s="12"/>
      <c r="K22" s="7"/>
      <c r="L22" s="80"/>
      <c r="N22" s="169" t="s">
        <v>73</v>
      </c>
      <c r="O22" s="170"/>
      <c r="P22" s="66">
        <f>G5</f>
        <v>864.3</v>
      </c>
      <c r="Q22" s="145">
        <v>4</v>
      </c>
      <c r="R22" s="148" t="str">
        <f t="shared" si="7"/>
        <v>INVESTIMENTO</v>
      </c>
      <c r="S22" s="143">
        <f t="shared" si="8"/>
        <v>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864.3</v>
      </c>
      <c r="Q23" s="146">
        <v>5</v>
      </c>
      <c r="R23" s="148" t="str">
        <f t="shared" si="7"/>
        <v>MORADIA</v>
      </c>
      <c r="S23" s="143">
        <f t="shared" si="8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/>
      <c r="D24" s="6"/>
      <c r="E24" s="10">
        <f>IF(D24=0,0,VLOOKUP(D24,$U$7:$V$25,2,FALSE))</f>
        <v>0</v>
      </c>
      <c r="F24" s="10">
        <f>IF(D24=0,0,VLOOKUP(D24,$U$8:$W$25,3,FALSE))</f>
        <v>0</v>
      </c>
      <c r="G24" s="15"/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0</v>
      </c>
      <c r="Q24" s="145">
        <v>6</v>
      </c>
      <c r="R24" s="148" t="str">
        <f t="shared" si="7"/>
        <v>TRANSPORTE</v>
      </c>
      <c r="S24" s="143">
        <f t="shared" si="8"/>
        <v>160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/>
      <c r="D25" s="6"/>
      <c r="E25" s="10">
        <f>IF(D25=0,0,VLOOKUP(D25,$U$7:$V$25,2,FALSE))</f>
        <v>0</v>
      </c>
      <c r="F25" s="10">
        <f>IF(D25=0,0,VLOOKUP(D25,$U$8:$W$25,3,FALSE))</f>
        <v>0</v>
      </c>
      <c r="G25" s="15"/>
      <c r="H25" s="132"/>
      <c r="I25" s="138">
        <f t="shared" si="5"/>
      </c>
      <c r="J25" s="12"/>
      <c r="K25" s="7"/>
      <c r="L25" s="80"/>
      <c r="N25" s="165" t="s">
        <v>67</v>
      </c>
      <c r="O25" s="166"/>
      <c r="P25" s="111" t="s">
        <v>63</v>
      </c>
      <c r="Q25" s="146">
        <v>7</v>
      </c>
      <c r="R25" s="148" t="str">
        <f t="shared" si="7"/>
        <v>ALIMENTAÇÃO</v>
      </c>
      <c r="S25" s="143">
        <f t="shared" si="8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/>
      <c r="D26" s="6"/>
      <c r="E26" s="10">
        <f t="shared" si="6"/>
        <v>0</v>
      </c>
      <c r="F26" s="10">
        <f t="shared" si="4"/>
        <v>0</v>
      </c>
      <c r="G26" s="15"/>
      <c r="H26" s="132"/>
      <c r="I26" s="138">
        <f t="shared" si="5"/>
      </c>
      <c r="J26" s="12"/>
      <c r="K26" s="7"/>
      <c r="L26" s="80"/>
      <c r="N26" s="171" t="s">
        <v>34</v>
      </c>
      <c r="O26" s="172"/>
      <c r="P26" s="66">
        <v>226</v>
      </c>
      <c r="Q26" s="145">
        <v>8</v>
      </c>
      <c r="R26" s="148" t="str">
        <f t="shared" si="7"/>
        <v>TELEFONIA</v>
      </c>
      <c r="S26" s="143">
        <f t="shared" si="8"/>
        <v>62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6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6">
        <f>P20-P22</f>
        <v>25.700000000000045</v>
      </c>
      <c r="Q27" s="146">
        <v>9</v>
      </c>
      <c r="R27" s="148" t="str">
        <f t="shared" si="7"/>
        <v>DEPENDENTES</v>
      </c>
      <c r="S27" s="143">
        <f t="shared" si="8"/>
        <v>10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/>
      <c r="D28" s="6"/>
      <c r="E28" s="10">
        <f t="shared" si="6"/>
        <v>0</v>
      </c>
      <c r="F28" s="10">
        <f t="shared" si="4"/>
        <v>0</v>
      </c>
      <c r="G28" s="15"/>
      <c r="H28" s="132"/>
      <c r="I28" s="138">
        <f t="shared" si="5"/>
      </c>
      <c r="J28" s="12"/>
      <c r="K28" s="7"/>
      <c r="L28" s="80"/>
      <c r="N28" s="175" t="s">
        <v>35</v>
      </c>
      <c r="O28" s="176"/>
      <c r="P28" s="66">
        <f>P19-P22+P26</f>
        <v>1251.7</v>
      </c>
      <c r="Q28" s="145">
        <v>10</v>
      </c>
      <c r="R28" s="148" t="str">
        <f t="shared" si="7"/>
        <v>SAUDE</v>
      </c>
      <c r="S28" s="143">
        <f t="shared" si="8"/>
        <v>45.16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/>
      <c r="D29" s="6"/>
      <c r="E29" s="10">
        <f t="shared" si="6"/>
        <v>0</v>
      </c>
      <c r="F29" s="10">
        <f t="shared" si="4"/>
        <v>0</v>
      </c>
      <c r="G29" s="15"/>
      <c r="H29" s="132"/>
      <c r="I29" s="138">
        <f t="shared" si="5"/>
      </c>
      <c r="J29" s="12"/>
      <c r="K29" s="13"/>
      <c r="L29" s="80"/>
      <c r="N29" s="165" t="s">
        <v>64</v>
      </c>
      <c r="O29" s="166"/>
      <c r="P29" s="111" t="s">
        <v>63</v>
      </c>
      <c r="Q29" s="146">
        <v>11</v>
      </c>
      <c r="R29" s="148" t="str">
        <f t="shared" si="7"/>
        <v>GESTÃO CONTAS PAI</v>
      </c>
      <c r="S29" s="143">
        <f t="shared" si="8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/>
      <c r="D30" s="6"/>
      <c r="E30" s="10">
        <f t="shared" si="6"/>
        <v>0</v>
      </c>
      <c r="F30" s="10">
        <f t="shared" si="4"/>
        <v>0</v>
      </c>
      <c r="G30" s="15"/>
      <c r="H30" s="132"/>
      <c r="I30" s="138">
        <f t="shared" si="5"/>
      </c>
      <c r="J30" s="12"/>
      <c r="K30" s="7"/>
      <c r="L30" s="80"/>
      <c r="N30" s="124" t="s">
        <v>80</v>
      </c>
      <c r="O30" s="127" t="s">
        <v>68</v>
      </c>
      <c r="P30" s="110">
        <f>SUMIF($B$7:$B$33,O30,$G$7:$G$47)</f>
        <v>202.29999999999998</v>
      </c>
      <c r="Q30" s="145">
        <v>12</v>
      </c>
      <c r="R30" s="148" t="str">
        <f t="shared" si="7"/>
        <v>MANUTENÇÃO CARRO</v>
      </c>
      <c r="S30" s="143">
        <f t="shared" si="8"/>
        <v>0</v>
      </c>
    </row>
    <row r="31" spans="2:19" ht="12.75">
      <c r="B31">
        <f t="shared" si="3"/>
        <v>0</v>
      </c>
      <c r="C31" s="79"/>
      <c r="D31" s="6"/>
      <c r="E31" s="10">
        <f t="shared" si="6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7"/>
        <v>DATAS COMEMORATIVAS</v>
      </c>
      <c r="S31" s="143">
        <f t="shared" si="8"/>
        <v>19.9</v>
      </c>
    </row>
    <row r="32" spans="2:19" ht="13.5" thickBot="1">
      <c r="B32">
        <f>K46</f>
        <v>0</v>
      </c>
      <c r="C32" s="79"/>
      <c r="D32" s="6"/>
      <c r="E32" s="10">
        <f t="shared" si="6"/>
        <v>0</v>
      </c>
      <c r="F32" s="10">
        <f aca="true" t="shared" si="9" ref="F32:F47">IF(D32=0,0,VLOOKUP(D32,$U$8:$W$25,3,FALSE))</f>
        <v>0</v>
      </c>
      <c r="G32" s="15"/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7"/>
        <v>INDEFINIDO</v>
      </c>
      <c r="S32" s="153">
        <f t="shared" si="8"/>
        <v>0</v>
      </c>
    </row>
    <row r="33" spans="2:17" ht="12.75">
      <c r="B33">
        <f>K47</f>
        <v>0</v>
      </c>
      <c r="C33" s="79"/>
      <c r="D33" s="6"/>
      <c r="E33" s="10">
        <f t="shared" si="6"/>
        <v>0</v>
      </c>
      <c r="F33" s="10">
        <f t="shared" si="9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6"/>
        <v>0</v>
      </c>
      <c r="F34" s="10">
        <f t="shared" si="9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6"/>
        <v>0</v>
      </c>
      <c r="F35" s="10">
        <f t="shared" si="9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6"/>
        <v>0</v>
      </c>
      <c r="F36" s="10">
        <f t="shared" si="9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6"/>
        <v>0</v>
      </c>
      <c r="F37" s="10">
        <f t="shared" si="9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6"/>
        <v>0</v>
      </c>
      <c r="F38" s="10">
        <f t="shared" si="9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6"/>
        <v>0</v>
      </c>
      <c r="F39" s="10">
        <f t="shared" si="9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6"/>
        <v>0</v>
      </c>
      <c r="F40" s="10">
        <f t="shared" si="9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6"/>
        <v>0</v>
      </c>
      <c r="F41" s="10">
        <f t="shared" si="9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6"/>
        <v>0</v>
      </c>
      <c r="F42" s="10">
        <f t="shared" si="9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6"/>
        <v>0</v>
      </c>
      <c r="F43" s="10">
        <f t="shared" si="9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6"/>
        <v>0</v>
      </c>
      <c r="F44" s="10">
        <f t="shared" si="9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6"/>
        <v>0</v>
      </c>
      <c r="F45" s="10">
        <f t="shared" si="9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6"/>
        <v>0</v>
      </c>
      <c r="F46" s="10">
        <f t="shared" si="9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6"/>
        <v>0</v>
      </c>
      <c r="F47" s="83">
        <f t="shared" si="9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S4:S5"/>
    <mergeCell ref="N22:O22"/>
    <mergeCell ref="N23:O23"/>
    <mergeCell ref="N18:O18"/>
    <mergeCell ref="N19:O19"/>
    <mergeCell ref="N20:O20"/>
    <mergeCell ref="O1:S1"/>
    <mergeCell ref="C4:C5"/>
    <mergeCell ref="D4:D5"/>
    <mergeCell ref="E4:E5"/>
    <mergeCell ref="F4:F5"/>
    <mergeCell ref="J4:J5"/>
    <mergeCell ref="L4:L5"/>
    <mergeCell ref="O4:O5"/>
    <mergeCell ref="H4:I4"/>
    <mergeCell ref="Q4:Q5"/>
    <mergeCell ref="N29:O29"/>
    <mergeCell ref="N25:O25"/>
    <mergeCell ref="N21:O21"/>
    <mergeCell ref="N24:O24"/>
    <mergeCell ref="N26:O26"/>
    <mergeCell ref="N27:O27"/>
    <mergeCell ref="N28:O28"/>
  </mergeCells>
  <printOptions/>
  <pageMargins left="0.787401575" right="0.787401575" top="0.984251969" bottom="0.984251969" header="0.492125985" footer="0.49212598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B1:AF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41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2240.94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40589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40602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 t="s">
        <v>127</v>
      </c>
      <c r="O9" s="5">
        <v>1</v>
      </c>
      <c r="P9" s="10" t="str">
        <f t="shared" si="1"/>
        <v>FIXA MENSAL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 t="str">
        <f t="shared" si="3"/>
        <v>A</v>
      </c>
      <c r="C12" s="79" t="s">
        <v>79</v>
      </c>
      <c r="D12" s="6">
        <v>1</v>
      </c>
      <c r="E12" s="10" t="str">
        <f t="shared" si="0"/>
        <v>VESTUARIO</v>
      </c>
      <c r="F12" s="10" t="str">
        <f t="shared" si="4"/>
        <v>CUSTO VARIAVÉL</v>
      </c>
      <c r="G12" s="15">
        <v>49.75</v>
      </c>
      <c r="H12" s="132"/>
      <c r="I12" s="138">
        <f t="shared" si="5"/>
      </c>
      <c r="J12" s="12"/>
      <c r="K12" s="13" t="s">
        <v>68</v>
      </c>
      <c r="L12" s="80" t="s">
        <v>99</v>
      </c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 t="str">
        <f t="shared" si="3"/>
        <v>A</v>
      </c>
      <c r="C13" s="79" t="s">
        <v>82</v>
      </c>
      <c r="D13" s="6">
        <v>1</v>
      </c>
      <c r="E13" s="10" t="str">
        <f t="shared" si="0"/>
        <v>VESTUARIO</v>
      </c>
      <c r="F13" s="10" t="str">
        <f t="shared" si="4"/>
        <v>CUSTO VARIAVÉL</v>
      </c>
      <c r="G13" s="15">
        <v>72.49</v>
      </c>
      <c r="H13" s="132"/>
      <c r="I13" s="138">
        <f t="shared" si="5"/>
      </c>
      <c r="J13" s="12"/>
      <c r="K13" s="13" t="s">
        <v>68</v>
      </c>
      <c r="L13" s="80" t="s">
        <v>99</v>
      </c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 t="str">
        <f t="shared" si="3"/>
        <v>A</v>
      </c>
      <c r="C14" s="79" t="s">
        <v>85</v>
      </c>
      <c r="D14" s="6">
        <v>13</v>
      </c>
      <c r="E14" s="10" t="str">
        <f t="shared" si="0"/>
        <v>DATAS COMEMORATIVAS</v>
      </c>
      <c r="F14" s="10" t="str">
        <f t="shared" si="4"/>
        <v>CUSTO VARIAVÉL</v>
      </c>
      <c r="G14" s="15">
        <v>19.9</v>
      </c>
      <c r="H14" s="132"/>
      <c r="I14" s="138">
        <f t="shared" si="5"/>
      </c>
      <c r="J14" s="12"/>
      <c r="K14" s="13" t="s">
        <v>68</v>
      </c>
      <c r="L14" s="80" t="s">
        <v>100</v>
      </c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 t="str">
        <f t="shared" si="3"/>
        <v>A</v>
      </c>
      <c r="C15" s="79" t="s">
        <v>126</v>
      </c>
      <c r="D15" s="6">
        <v>13</v>
      </c>
      <c r="E15" s="10" t="str">
        <f t="shared" si="0"/>
        <v>DATAS COMEMORATIVAS</v>
      </c>
      <c r="F15" s="10" t="str">
        <f t="shared" si="4"/>
        <v>CUSTO VARIAVÉL</v>
      </c>
      <c r="G15" s="15">
        <v>40</v>
      </c>
      <c r="H15" s="132"/>
      <c r="I15" s="138">
        <f t="shared" si="5"/>
      </c>
      <c r="J15" s="12"/>
      <c r="K15" s="13" t="s">
        <v>68</v>
      </c>
      <c r="L15" s="80" t="s">
        <v>83</v>
      </c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/>
      <c r="D16" s="6"/>
      <c r="E16" s="10">
        <f t="shared" si="0"/>
        <v>0</v>
      </c>
      <c r="F16" s="10">
        <f t="shared" si="4"/>
        <v>0</v>
      </c>
      <c r="G16" s="15"/>
      <c r="H16" s="132"/>
      <c r="I16" s="138">
        <f t="shared" si="5"/>
      </c>
      <c r="J16" s="12"/>
      <c r="K16" s="7"/>
      <c r="L16" s="80"/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557.24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506.8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 t="s">
        <v>104</v>
      </c>
      <c r="D21" s="6">
        <v>1</v>
      </c>
      <c r="E21" s="10" t="str">
        <f t="shared" si="0"/>
        <v>VESTUARIO</v>
      </c>
      <c r="F21" s="10" t="str">
        <f t="shared" si="4"/>
        <v>CUSTO VARIAVÉL</v>
      </c>
      <c r="G21" s="15">
        <v>270</v>
      </c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 t="str">
        <f t="shared" si="3"/>
        <v>A</v>
      </c>
      <c r="C22" s="79" t="s">
        <v>105</v>
      </c>
      <c r="D22" s="6">
        <v>1</v>
      </c>
      <c r="E22" s="10" t="str">
        <f t="shared" si="0"/>
        <v>VESTUARIO</v>
      </c>
      <c r="F22" s="10" t="str">
        <f t="shared" si="4"/>
        <v>CUSTO VARIAVÉL</v>
      </c>
      <c r="G22" s="15">
        <v>100</v>
      </c>
      <c r="H22" s="132"/>
      <c r="I22" s="138">
        <f t="shared" si="5"/>
      </c>
      <c r="J22" s="12"/>
      <c r="K22" s="7" t="s">
        <v>68</v>
      </c>
      <c r="L22" s="80" t="s">
        <v>111</v>
      </c>
      <c r="N22" s="169" t="s">
        <v>73</v>
      </c>
      <c r="O22" s="170"/>
      <c r="P22" s="66">
        <f>G5</f>
        <v>2240.94</v>
      </c>
      <c r="Q22" s="145">
        <v>4</v>
      </c>
      <c r="R22" s="148" t="str">
        <f t="shared" si="6"/>
        <v>INVESTIMENTO</v>
      </c>
      <c r="S22" s="143">
        <f t="shared" si="7"/>
        <v>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/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2240.94</v>
      </c>
      <c r="Q24" s="145">
        <v>6</v>
      </c>
      <c r="R24" s="148" t="str">
        <f t="shared" si="6"/>
        <v>TRANSPORTE</v>
      </c>
      <c r="S24" s="143">
        <f t="shared" si="7"/>
        <v>800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 t="s">
        <v>108</v>
      </c>
      <c r="D25" s="6">
        <v>6</v>
      </c>
      <c r="E25" s="10" t="str">
        <f>IF(D25=0,0,VLOOKUP(D25,$U$7:$V$25,2,FALSE))</f>
        <v>TRANSPORTE</v>
      </c>
      <c r="F25" s="10" t="str">
        <f>IF(D25=0,0,VLOOKUP(D25,$U$8:$W$25,3,FALSE))</f>
        <v>CUSTO FIXO / VARIAVÉL</v>
      </c>
      <c r="G25" s="15">
        <v>400</v>
      </c>
      <c r="H25" s="132"/>
      <c r="I25" s="138">
        <f t="shared" si="5"/>
      </c>
      <c r="J25" s="12"/>
      <c r="K25" s="7"/>
      <c r="L25" s="80" t="s">
        <v>83</v>
      </c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 t="s">
        <v>109</v>
      </c>
      <c r="D26" s="6">
        <v>6</v>
      </c>
      <c r="E26" s="10" t="str">
        <f t="shared" si="0"/>
        <v>TRANSPORTE</v>
      </c>
      <c r="F26" s="10" t="str">
        <f t="shared" si="4"/>
        <v>CUSTO FIXO / VARIAVÉL</v>
      </c>
      <c r="G26" s="15">
        <v>400</v>
      </c>
      <c r="H26" s="132"/>
      <c r="I26" s="138">
        <f t="shared" si="5"/>
      </c>
      <c r="J26" s="12"/>
      <c r="K26" s="7"/>
      <c r="L26" s="80" t="s">
        <v>111</v>
      </c>
      <c r="N26" s="171" t="s">
        <v>34</v>
      </c>
      <c r="O26" s="172"/>
      <c r="P26" s="66">
        <f>JAN_2010!P28</f>
        <v>1251.7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-2240.94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121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450</v>
      </c>
      <c r="H28" s="132"/>
      <c r="I28" s="138">
        <f t="shared" si="5"/>
      </c>
      <c r="J28" s="12"/>
      <c r="K28" s="7"/>
      <c r="L28" s="80"/>
      <c r="N28" s="175" t="s">
        <v>35</v>
      </c>
      <c r="O28" s="176"/>
      <c r="P28" s="66">
        <f>P19-P22+P26</f>
        <v>988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 t="s">
        <v>123</v>
      </c>
      <c r="D29" s="6">
        <v>2</v>
      </c>
      <c r="E29" s="10" t="str">
        <f t="shared" si="0"/>
        <v>LAZER</v>
      </c>
      <c r="F29" s="10" t="str">
        <f t="shared" si="4"/>
        <v>CUSTO VARIAVÉL</v>
      </c>
      <c r="G29" s="15">
        <v>40</v>
      </c>
      <c r="H29" s="132"/>
      <c r="I29" s="138">
        <f t="shared" si="5"/>
      </c>
      <c r="J29" s="12"/>
      <c r="K29" s="13"/>
      <c r="L29" s="80" t="s">
        <v>111</v>
      </c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 t="s">
        <v>124</v>
      </c>
      <c r="D30" s="6">
        <v>2</v>
      </c>
      <c r="E30" s="10" t="str">
        <f t="shared" si="0"/>
        <v>LAZER</v>
      </c>
      <c r="F30" s="10" t="str">
        <f t="shared" si="4"/>
        <v>CUSTO VARIAVÉL</v>
      </c>
      <c r="G30" s="15">
        <v>16.8</v>
      </c>
      <c r="H30" s="132"/>
      <c r="I30" s="138">
        <f t="shared" si="5"/>
      </c>
      <c r="J30" s="12"/>
      <c r="K30" s="7"/>
      <c r="L30" s="80" t="s">
        <v>110</v>
      </c>
      <c r="N30" s="124" t="s">
        <v>80</v>
      </c>
      <c r="O30" s="127" t="s">
        <v>68</v>
      </c>
      <c r="P30" s="110">
        <f>SUMIF($B$7:$B$33,O30,$G$7:$G$47)</f>
        <v>282.14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59.9</v>
      </c>
    </row>
    <row r="32" spans="2:19" ht="13.5" thickBot="1">
      <c r="B32">
        <f>K46</f>
        <v>0</v>
      </c>
      <c r="C32" s="79"/>
      <c r="D32" s="6"/>
      <c r="E32" s="10">
        <f t="shared" si="0"/>
        <v>0</v>
      </c>
      <c r="F32" s="10">
        <f t="shared" si="4"/>
        <v>0</v>
      </c>
      <c r="G32" s="15"/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/>
      <c r="D33" s="6"/>
      <c r="E33" s="10">
        <f t="shared" si="0"/>
        <v>0</v>
      </c>
      <c r="F33" s="10">
        <f t="shared" si="4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2:O22"/>
    <mergeCell ref="N23:O23"/>
    <mergeCell ref="N24:O24"/>
    <mergeCell ref="N25:O25"/>
    <mergeCell ref="N26:O26"/>
    <mergeCell ref="N27:O27"/>
    <mergeCell ref="N28:O2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B1:AF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45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2966.04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/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 t="str">
        <f t="shared" si="3"/>
        <v>A</v>
      </c>
      <c r="C12" s="79" t="s">
        <v>79</v>
      </c>
      <c r="D12" s="6">
        <v>1</v>
      </c>
      <c r="E12" s="10" t="str">
        <f t="shared" si="0"/>
        <v>VESTUARIO</v>
      </c>
      <c r="F12" s="10" t="str">
        <f t="shared" si="4"/>
        <v>CUSTO VARIAVÉL</v>
      </c>
      <c r="G12" s="15">
        <v>49.75</v>
      </c>
      <c r="H12" s="132"/>
      <c r="I12" s="138">
        <f t="shared" si="5"/>
      </c>
      <c r="J12" s="12"/>
      <c r="K12" s="13" t="s">
        <v>68</v>
      </c>
      <c r="L12" s="80" t="s">
        <v>101</v>
      </c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 t="str">
        <f t="shared" si="3"/>
        <v>A</v>
      </c>
      <c r="C13" s="79" t="s">
        <v>82</v>
      </c>
      <c r="D13" s="6">
        <v>1</v>
      </c>
      <c r="E13" s="10" t="str">
        <f t="shared" si="0"/>
        <v>VESTUARIO</v>
      </c>
      <c r="F13" s="10" t="str">
        <f t="shared" si="4"/>
        <v>CUSTO VARIAVÉL</v>
      </c>
      <c r="G13" s="15">
        <v>72.49</v>
      </c>
      <c r="H13" s="132"/>
      <c r="I13" s="138">
        <f t="shared" si="5"/>
      </c>
      <c r="J13" s="12"/>
      <c r="K13" s="13" t="s">
        <v>68</v>
      </c>
      <c r="L13" s="80" t="s">
        <v>101</v>
      </c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 t="str">
        <f t="shared" si="3"/>
        <v>A</v>
      </c>
      <c r="C14" s="79" t="s">
        <v>126</v>
      </c>
      <c r="D14" s="6">
        <v>13</v>
      </c>
      <c r="E14" s="10" t="str">
        <f t="shared" si="0"/>
        <v>DATAS COMEMORATIVAS</v>
      </c>
      <c r="F14" s="10" t="str">
        <f t="shared" si="4"/>
        <v>CUSTO VARIAVÉL</v>
      </c>
      <c r="G14" s="15">
        <v>40</v>
      </c>
      <c r="H14" s="132"/>
      <c r="I14" s="138">
        <f t="shared" si="5"/>
      </c>
      <c r="J14" s="12"/>
      <c r="K14" s="13" t="s">
        <v>68</v>
      </c>
      <c r="L14" s="80" t="s">
        <v>100</v>
      </c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/>
      <c r="D15" s="6"/>
      <c r="E15" s="10">
        <f t="shared" si="0"/>
        <v>0</v>
      </c>
      <c r="F15" s="10">
        <f t="shared" si="4"/>
        <v>0</v>
      </c>
      <c r="G15" s="15"/>
      <c r="H15" s="132"/>
      <c r="I15" s="138">
        <f t="shared" si="5"/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102</v>
      </c>
      <c r="D16" s="6">
        <v>6</v>
      </c>
      <c r="E16" s="10" t="str">
        <f t="shared" si="0"/>
        <v>TRANSPORTE</v>
      </c>
      <c r="F16" s="10" t="str">
        <f t="shared" si="4"/>
        <v>CUSTO FIXO / VARIAVÉL</v>
      </c>
      <c r="G16" s="15">
        <v>900</v>
      </c>
      <c r="H16" s="132"/>
      <c r="I16" s="138">
        <f t="shared" si="5"/>
      </c>
      <c r="J16" s="12"/>
      <c r="K16" s="7"/>
      <c r="L16" s="80" t="s">
        <v>110</v>
      </c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287.24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621.8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/>
      <c r="D21" s="6"/>
      <c r="E21" s="10">
        <f t="shared" si="0"/>
        <v>0</v>
      </c>
      <c r="F21" s="10">
        <f t="shared" si="4"/>
        <v>0</v>
      </c>
      <c r="G21" s="15"/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 t="str">
        <f t="shared" si="3"/>
        <v>A</v>
      </c>
      <c r="C22" s="79" t="s">
        <v>105</v>
      </c>
      <c r="D22" s="6">
        <v>1</v>
      </c>
      <c r="E22" s="10" t="str">
        <f t="shared" si="0"/>
        <v>VESTUARIO</v>
      </c>
      <c r="F22" s="10" t="str">
        <f t="shared" si="4"/>
        <v>CUSTO VARIAVÉL</v>
      </c>
      <c r="G22" s="15">
        <v>100</v>
      </c>
      <c r="H22" s="132"/>
      <c r="I22" s="138">
        <f t="shared" si="5"/>
      </c>
      <c r="J22" s="12"/>
      <c r="K22" s="7" t="s">
        <v>68</v>
      </c>
      <c r="L22" s="80" t="s">
        <v>81</v>
      </c>
      <c r="N22" s="169" t="s">
        <v>73</v>
      </c>
      <c r="O22" s="170"/>
      <c r="P22" s="66">
        <f>G5</f>
        <v>2966.04</v>
      </c>
      <c r="Q22" s="145">
        <v>4</v>
      </c>
      <c r="R22" s="148" t="str">
        <f t="shared" si="6"/>
        <v>INVESTIMENTO</v>
      </c>
      <c r="S22" s="143">
        <f t="shared" si="7"/>
        <v>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/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2966.04</v>
      </c>
      <c r="Q24" s="145">
        <v>6</v>
      </c>
      <c r="R24" s="148" t="str">
        <f t="shared" si="6"/>
        <v>TRANSPORTE</v>
      </c>
      <c r="S24" s="143">
        <f t="shared" si="7"/>
        <v>1700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 t="s">
        <v>108</v>
      </c>
      <c r="D25" s="6">
        <v>6</v>
      </c>
      <c r="E25" s="10" t="str">
        <f>IF(D25=0,0,VLOOKUP(D25,$U$7:$V$25,2,FALSE))</f>
        <v>TRANSPORTE</v>
      </c>
      <c r="F25" s="10" t="str">
        <f>IF(D25=0,0,VLOOKUP(D25,$U$8:$W$25,3,FALSE))</f>
        <v>CUSTO FIXO / VARIAVÉL</v>
      </c>
      <c r="G25" s="15">
        <v>400</v>
      </c>
      <c r="H25" s="132"/>
      <c r="I25" s="138">
        <f t="shared" si="5"/>
      </c>
      <c r="J25" s="12"/>
      <c r="K25" s="7"/>
      <c r="L25" s="80" t="s">
        <v>100</v>
      </c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 t="s">
        <v>109</v>
      </c>
      <c r="D26" s="6">
        <v>6</v>
      </c>
      <c r="E26" s="10" t="str">
        <f>IF(D26=0,0,VLOOKUP(D26,$U$7:$V$25,2,FALSE))</f>
        <v>TRANSPORTE</v>
      </c>
      <c r="F26" s="10" t="str">
        <f>IF(D26=0,0,VLOOKUP(D26,$U$8:$W$25,3,FALSE))</f>
        <v>CUSTO FIXO / VARIAVÉL</v>
      </c>
      <c r="G26" s="15">
        <v>400</v>
      </c>
      <c r="H26" s="132"/>
      <c r="I26" s="138">
        <f t="shared" si="5"/>
      </c>
      <c r="J26" s="12"/>
      <c r="K26" s="7"/>
      <c r="L26" s="80" t="s">
        <v>99</v>
      </c>
      <c r="N26" s="171" t="s">
        <v>34</v>
      </c>
      <c r="O26" s="172"/>
      <c r="P26" s="66">
        <f>FEV_2010!P28</f>
        <v>988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-2966.04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122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135</v>
      </c>
      <c r="H28" s="132"/>
      <c r="I28" s="138">
        <f t="shared" si="5"/>
      </c>
      <c r="J28" s="12"/>
      <c r="K28" s="7"/>
      <c r="L28" s="80" t="s">
        <v>110</v>
      </c>
      <c r="N28" s="175" t="s">
        <v>35</v>
      </c>
      <c r="O28" s="176"/>
      <c r="P28" s="66">
        <f>P19-P22+P26</f>
        <v>-0.7999999999999545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 t="s">
        <v>123</v>
      </c>
      <c r="D29" s="6">
        <v>2</v>
      </c>
      <c r="E29" s="10" t="str">
        <f t="shared" si="0"/>
        <v>LAZER</v>
      </c>
      <c r="F29" s="10" t="str">
        <f t="shared" si="4"/>
        <v>CUSTO VARIAVÉL</v>
      </c>
      <c r="G29" s="15">
        <v>40</v>
      </c>
      <c r="H29" s="132"/>
      <c r="I29" s="138">
        <f t="shared" si="5"/>
      </c>
      <c r="J29" s="12"/>
      <c r="K29" s="13"/>
      <c r="L29" s="80" t="s">
        <v>81</v>
      </c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 t="s">
        <v>124</v>
      </c>
      <c r="D30" s="6">
        <v>2</v>
      </c>
      <c r="E30" s="10" t="str">
        <f t="shared" si="0"/>
        <v>LAZER</v>
      </c>
      <c r="F30" s="10" t="str">
        <f t="shared" si="4"/>
        <v>CUSTO VARIAVÉL</v>
      </c>
      <c r="G30" s="15">
        <v>16.8</v>
      </c>
      <c r="H30" s="132"/>
      <c r="I30" s="138">
        <f t="shared" si="5"/>
      </c>
      <c r="J30" s="12"/>
      <c r="K30" s="7"/>
      <c r="L30" s="80" t="s">
        <v>112</v>
      </c>
      <c r="N30" s="124" t="s">
        <v>80</v>
      </c>
      <c r="O30" s="127" t="s">
        <v>68</v>
      </c>
      <c r="P30" s="110">
        <f>SUMIF($B$7:$B$33,O30,$G$7:$G$47)</f>
        <v>262.24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40</v>
      </c>
    </row>
    <row r="32" spans="2:19" ht="13.5" thickBot="1">
      <c r="B32">
        <f>K46</f>
        <v>0</v>
      </c>
      <c r="C32" s="79" t="s">
        <v>128</v>
      </c>
      <c r="D32" s="6">
        <v>2</v>
      </c>
      <c r="E32" s="10" t="str">
        <f t="shared" si="0"/>
        <v>LAZER</v>
      </c>
      <c r="F32" s="10" t="str">
        <f t="shared" si="4"/>
        <v>CUSTO VARIAVÉL</v>
      </c>
      <c r="G32" s="15">
        <v>400</v>
      </c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 t="s">
        <v>129</v>
      </c>
      <c r="D33" s="6">
        <v>2</v>
      </c>
      <c r="E33" s="10" t="str">
        <f t="shared" si="0"/>
        <v>LAZER</v>
      </c>
      <c r="F33" s="10" t="str">
        <f t="shared" si="4"/>
        <v>CUSTO VARIAVÉL</v>
      </c>
      <c r="G33" s="15">
        <v>30</v>
      </c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2:O22"/>
    <mergeCell ref="N23:O23"/>
    <mergeCell ref="N24:O24"/>
    <mergeCell ref="N25:O25"/>
    <mergeCell ref="N26:O26"/>
    <mergeCell ref="N27:O27"/>
    <mergeCell ref="N28:O2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/>
  <dimension ref="B1:AF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46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1973.8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/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>
        <f t="shared" si="3"/>
        <v>0</v>
      </c>
      <c r="C12" s="79"/>
      <c r="D12" s="6"/>
      <c r="E12" s="10">
        <f t="shared" si="0"/>
        <v>0</v>
      </c>
      <c r="F12" s="10">
        <f t="shared" si="4"/>
        <v>0</v>
      </c>
      <c r="G12" s="15"/>
      <c r="H12" s="132"/>
      <c r="I12" s="138">
        <f t="shared" si="5"/>
      </c>
      <c r="J12" s="12"/>
      <c r="K12" s="13"/>
      <c r="L12" s="80"/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>
        <f t="shared" si="3"/>
        <v>0</v>
      </c>
      <c r="C13" s="79"/>
      <c r="D13" s="6"/>
      <c r="E13" s="10">
        <f t="shared" si="0"/>
        <v>0</v>
      </c>
      <c r="F13" s="10">
        <f t="shared" si="4"/>
        <v>0</v>
      </c>
      <c r="G13" s="15"/>
      <c r="H13" s="132"/>
      <c r="I13" s="138">
        <f t="shared" si="5"/>
      </c>
      <c r="J13" s="12"/>
      <c r="K13" s="13"/>
      <c r="L13" s="80"/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>
        <f t="shared" si="3"/>
        <v>0</v>
      </c>
      <c r="C14" s="79"/>
      <c r="D14" s="6"/>
      <c r="E14" s="10">
        <f t="shared" si="0"/>
        <v>0</v>
      </c>
      <c r="F14" s="10">
        <f t="shared" si="4"/>
        <v>0</v>
      </c>
      <c r="G14" s="15"/>
      <c r="H14" s="132"/>
      <c r="I14" s="138">
        <f t="shared" si="5"/>
      </c>
      <c r="J14" s="12"/>
      <c r="K14" s="13"/>
      <c r="L14" s="80"/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/>
      <c r="D15" s="6"/>
      <c r="E15" s="10">
        <f t="shared" si="0"/>
        <v>0</v>
      </c>
      <c r="F15" s="10">
        <f t="shared" si="4"/>
        <v>0</v>
      </c>
      <c r="G15" s="15"/>
      <c r="H15" s="132"/>
      <c r="I15" s="138">
        <f t="shared" si="5"/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102</v>
      </c>
      <c r="D16" s="6">
        <v>6</v>
      </c>
      <c r="E16" s="10" t="str">
        <f t="shared" si="0"/>
        <v>TRANSPORTE</v>
      </c>
      <c r="F16" s="10" t="str">
        <f t="shared" si="4"/>
        <v>CUSTO FIXO / VARIAVÉL</v>
      </c>
      <c r="G16" s="15">
        <v>720</v>
      </c>
      <c r="H16" s="132"/>
      <c r="I16" s="138">
        <f t="shared" si="5"/>
      </c>
      <c r="J16" s="12"/>
      <c r="K16" s="7"/>
      <c r="L16" s="80" t="s">
        <v>112</v>
      </c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165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371.8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/>
      <c r="D21" s="6"/>
      <c r="E21" s="10">
        <f t="shared" si="0"/>
        <v>0</v>
      </c>
      <c r="F21" s="10">
        <f t="shared" si="4"/>
        <v>0</v>
      </c>
      <c r="G21" s="15"/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 t="str">
        <f t="shared" si="3"/>
        <v>A</v>
      </c>
      <c r="C22" s="79" t="s">
        <v>105</v>
      </c>
      <c r="D22" s="6">
        <v>1</v>
      </c>
      <c r="E22" s="10" t="str">
        <f t="shared" si="0"/>
        <v>VESTUARIO</v>
      </c>
      <c r="F22" s="10" t="str">
        <f t="shared" si="4"/>
        <v>CUSTO VARIAVÉL</v>
      </c>
      <c r="G22" s="15">
        <v>100</v>
      </c>
      <c r="H22" s="132"/>
      <c r="I22" s="138">
        <f t="shared" si="5"/>
      </c>
      <c r="J22" s="12"/>
      <c r="K22" s="7" t="s">
        <v>68</v>
      </c>
      <c r="L22" s="80" t="s">
        <v>99</v>
      </c>
      <c r="N22" s="169" t="s">
        <v>73</v>
      </c>
      <c r="O22" s="170"/>
      <c r="P22" s="66">
        <f>G5</f>
        <v>1973.8</v>
      </c>
      <c r="Q22" s="145">
        <v>4</v>
      </c>
      <c r="R22" s="148" t="str">
        <f t="shared" si="6"/>
        <v>INVESTIMENTO</v>
      </c>
      <c r="S22" s="143">
        <f t="shared" si="7"/>
        <v>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/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1973.8</v>
      </c>
      <c r="Q24" s="145">
        <v>6</v>
      </c>
      <c r="R24" s="148" t="str">
        <f t="shared" si="6"/>
        <v>TRANSPORTE</v>
      </c>
      <c r="S24" s="143">
        <f t="shared" si="7"/>
        <v>1120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/>
      <c r="D25" s="6"/>
      <c r="E25" s="10">
        <f>IF(D25=0,0,VLOOKUP(D25,$U$7:$V$25,2,FALSE))</f>
        <v>0</v>
      </c>
      <c r="F25" s="10">
        <f>IF(D25=0,0,VLOOKUP(D25,$U$8:$W$25,3,FALSE))</f>
        <v>0</v>
      </c>
      <c r="G25" s="15"/>
      <c r="H25" s="132"/>
      <c r="I25" s="138">
        <f t="shared" si="5"/>
      </c>
      <c r="J25" s="12"/>
      <c r="K25" s="7"/>
      <c r="L25" s="80"/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 t="s">
        <v>109</v>
      </c>
      <c r="D26" s="6">
        <v>6</v>
      </c>
      <c r="E26" s="10" t="str">
        <f>IF(D26=0,0,VLOOKUP(D26,$U$7:$V$25,2,FALSE))</f>
        <v>TRANSPORTE</v>
      </c>
      <c r="F26" s="10" t="str">
        <f>IF(D26=0,0,VLOOKUP(D26,$U$8:$W$25,3,FALSE))</f>
        <v>CUSTO FIXO / VARIAVÉL</v>
      </c>
      <c r="G26" s="15">
        <v>400</v>
      </c>
      <c r="H26" s="132"/>
      <c r="I26" s="138">
        <f t="shared" si="5"/>
      </c>
      <c r="J26" s="12"/>
      <c r="K26" s="7"/>
      <c r="L26" s="80" t="s">
        <v>99</v>
      </c>
      <c r="N26" s="171" t="s">
        <v>34</v>
      </c>
      <c r="O26" s="172"/>
      <c r="P26" s="66">
        <f>MAR_2010!P28</f>
        <v>-0.7999999999999545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-1973.8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122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135</v>
      </c>
      <c r="H28" s="132"/>
      <c r="I28" s="138">
        <f t="shared" si="5"/>
      </c>
      <c r="J28" s="12"/>
      <c r="K28" s="7"/>
      <c r="L28" s="80" t="s">
        <v>112</v>
      </c>
      <c r="N28" s="175" t="s">
        <v>35</v>
      </c>
      <c r="O28" s="176"/>
      <c r="P28" s="66">
        <f>P19-P22+P26</f>
        <v>2.6400000000001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 t="s">
        <v>123</v>
      </c>
      <c r="D29" s="6">
        <v>2</v>
      </c>
      <c r="E29" s="10" t="str">
        <f t="shared" si="0"/>
        <v>LAZER</v>
      </c>
      <c r="F29" s="10" t="str">
        <f t="shared" si="4"/>
        <v>CUSTO VARIAVÉL</v>
      </c>
      <c r="G29" s="15">
        <v>40</v>
      </c>
      <c r="H29" s="132"/>
      <c r="I29" s="138">
        <f t="shared" si="5"/>
      </c>
      <c r="J29" s="12"/>
      <c r="K29" s="13"/>
      <c r="L29" s="80" t="s">
        <v>99</v>
      </c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 t="s">
        <v>124</v>
      </c>
      <c r="D30" s="6">
        <v>2</v>
      </c>
      <c r="E30" s="10" t="str">
        <f t="shared" si="0"/>
        <v>LAZER</v>
      </c>
      <c r="F30" s="10" t="str">
        <f t="shared" si="4"/>
        <v>CUSTO VARIAVÉL</v>
      </c>
      <c r="G30" s="15">
        <v>16.8</v>
      </c>
      <c r="H30" s="132"/>
      <c r="I30" s="138">
        <f t="shared" si="5"/>
      </c>
      <c r="J30" s="12"/>
      <c r="K30" s="7"/>
      <c r="L30" s="80" t="s">
        <v>113</v>
      </c>
      <c r="N30" s="124" t="s">
        <v>80</v>
      </c>
      <c r="O30" s="127" t="s">
        <v>68</v>
      </c>
      <c r="P30" s="110">
        <f>SUMIF($B$7:$B$33,O30,$G$7:$G$47)</f>
        <v>100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0</v>
      </c>
    </row>
    <row r="32" spans="2:19" ht="13.5" thickBot="1">
      <c r="B32">
        <f>K46</f>
        <v>0</v>
      </c>
      <c r="C32" s="79" t="s">
        <v>130</v>
      </c>
      <c r="D32" s="6">
        <v>2</v>
      </c>
      <c r="E32" s="10" t="str">
        <f t="shared" si="0"/>
        <v>LAZER</v>
      </c>
      <c r="F32" s="10" t="str">
        <f t="shared" si="4"/>
        <v>CUSTO VARIAVÉL</v>
      </c>
      <c r="G32" s="15">
        <v>180</v>
      </c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/>
      <c r="D33" s="6"/>
      <c r="E33" s="10">
        <f t="shared" si="0"/>
        <v>0</v>
      </c>
      <c r="F33" s="10">
        <f t="shared" si="4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2:O22"/>
    <mergeCell ref="N23:O23"/>
    <mergeCell ref="N24:O24"/>
    <mergeCell ref="N25:O25"/>
    <mergeCell ref="N26:O26"/>
    <mergeCell ref="N27:O27"/>
    <mergeCell ref="N28:O2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B1:AF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47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1973.8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/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>
        <f t="shared" si="3"/>
        <v>0</v>
      </c>
      <c r="C12" s="79"/>
      <c r="D12" s="6"/>
      <c r="E12" s="10">
        <f t="shared" si="0"/>
        <v>0</v>
      </c>
      <c r="F12" s="10">
        <f t="shared" si="4"/>
        <v>0</v>
      </c>
      <c r="G12" s="15"/>
      <c r="H12" s="132"/>
      <c r="I12" s="138">
        <f t="shared" si="5"/>
      </c>
      <c r="J12" s="12"/>
      <c r="K12" s="13"/>
      <c r="L12" s="80"/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>
        <f t="shared" si="3"/>
        <v>0</v>
      </c>
      <c r="C13" s="79"/>
      <c r="D13" s="6"/>
      <c r="E13" s="10">
        <f t="shared" si="0"/>
        <v>0</v>
      </c>
      <c r="F13" s="10">
        <f t="shared" si="4"/>
        <v>0</v>
      </c>
      <c r="G13" s="15"/>
      <c r="H13" s="132"/>
      <c r="I13" s="138">
        <f t="shared" si="5"/>
      </c>
      <c r="J13" s="12"/>
      <c r="K13" s="13"/>
      <c r="L13" s="80"/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>
        <f t="shared" si="3"/>
        <v>0</v>
      </c>
      <c r="C14" s="79"/>
      <c r="D14" s="6"/>
      <c r="E14" s="10">
        <f t="shared" si="0"/>
        <v>0</v>
      </c>
      <c r="F14" s="10">
        <f t="shared" si="4"/>
        <v>0</v>
      </c>
      <c r="G14" s="15"/>
      <c r="H14" s="132"/>
      <c r="I14" s="138">
        <f t="shared" si="5"/>
      </c>
      <c r="J14" s="12"/>
      <c r="K14" s="13"/>
      <c r="L14" s="80"/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/>
      <c r="D15" s="6"/>
      <c r="E15" s="10">
        <f t="shared" si="0"/>
        <v>0</v>
      </c>
      <c r="F15" s="10">
        <f t="shared" si="4"/>
        <v>0</v>
      </c>
      <c r="G15" s="15"/>
      <c r="H15" s="132"/>
      <c r="I15" s="138">
        <f t="shared" si="5"/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102</v>
      </c>
      <c r="D16" s="6">
        <v>6</v>
      </c>
      <c r="E16" s="10" t="str">
        <f t="shared" si="0"/>
        <v>TRANSPORTE</v>
      </c>
      <c r="F16" s="10" t="str">
        <f t="shared" si="4"/>
        <v>CUSTO FIXO / VARIAVÉL</v>
      </c>
      <c r="G16" s="15">
        <v>900</v>
      </c>
      <c r="H16" s="132"/>
      <c r="I16" s="138">
        <f t="shared" si="5"/>
      </c>
      <c r="J16" s="12"/>
      <c r="K16" s="7"/>
      <c r="L16" s="80" t="s">
        <v>113</v>
      </c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165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191.8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/>
      <c r="D21" s="6"/>
      <c r="E21" s="10">
        <f t="shared" si="0"/>
        <v>0</v>
      </c>
      <c r="F21" s="10">
        <f t="shared" si="4"/>
        <v>0</v>
      </c>
      <c r="G21" s="15"/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 t="str">
        <f t="shared" si="3"/>
        <v>A</v>
      </c>
      <c r="C22" s="79" t="s">
        <v>105</v>
      </c>
      <c r="D22" s="6">
        <v>1</v>
      </c>
      <c r="E22" s="10" t="str">
        <f t="shared" si="0"/>
        <v>VESTUARIO</v>
      </c>
      <c r="F22" s="10" t="str">
        <f t="shared" si="4"/>
        <v>CUSTO VARIAVÉL</v>
      </c>
      <c r="G22" s="15">
        <v>100</v>
      </c>
      <c r="H22" s="132"/>
      <c r="I22" s="138">
        <f t="shared" si="5"/>
      </c>
      <c r="J22" s="12"/>
      <c r="K22" s="7" t="s">
        <v>68</v>
      </c>
      <c r="L22" s="80" t="s">
        <v>101</v>
      </c>
      <c r="N22" s="169" t="s">
        <v>73</v>
      </c>
      <c r="O22" s="170"/>
      <c r="P22" s="66">
        <f>G5</f>
        <v>1973.8</v>
      </c>
      <c r="Q22" s="145">
        <v>4</v>
      </c>
      <c r="R22" s="148" t="str">
        <f t="shared" si="6"/>
        <v>INVESTIMENTO</v>
      </c>
      <c r="S22" s="143">
        <f t="shared" si="7"/>
        <v>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/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1973.8</v>
      </c>
      <c r="Q24" s="145">
        <v>6</v>
      </c>
      <c r="R24" s="148" t="str">
        <f t="shared" si="6"/>
        <v>TRANSPORTE</v>
      </c>
      <c r="S24" s="143">
        <f t="shared" si="7"/>
        <v>1300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/>
      <c r="D25" s="6"/>
      <c r="E25" s="10">
        <f>IF(D25=0,0,VLOOKUP(D25,$U$7:$V$25,2,FALSE))</f>
        <v>0</v>
      </c>
      <c r="F25" s="10">
        <f>IF(D25=0,0,VLOOKUP(D25,$U$8:$W$25,3,FALSE))</f>
        <v>0</v>
      </c>
      <c r="G25" s="15"/>
      <c r="H25" s="132"/>
      <c r="I25" s="138">
        <f t="shared" si="5"/>
      </c>
      <c r="J25" s="12"/>
      <c r="K25" s="7"/>
      <c r="L25" s="80"/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 t="s">
        <v>109</v>
      </c>
      <c r="D26" s="6">
        <v>6</v>
      </c>
      <c r="E26" s="10" t="str">
        <f>IF(D26=0,0,VLOOKUP(D26,$U$7:$V$25,2,FALSE))</f>
        <v>TRANSPORTE</v>
      </c>
      <c r="F26" s="10" t="str">
        <f>IF(D26=0,0,VLOOKUP(D26,$U$8:$W$25,3,FALSE))</f>
        <v>CUSTO FIXO / VARIAVÉL</v>
      </c>
      <c r="G26" s="15">
        <v>400</v>
      </c>
      <c r="H26" s="132"/>
      <c r="I26" s="138">
        <f t="shared" si="5"/>
      </c>
      <c r="J26" s="12"/>
      <c r="K26" s="7"/>
      <c r="L26" s="80" t="s">
        <v>101</v>
      </c>
      <c r="N26" s="171" t="s">
        <v>34</v>
      </c>
      <c r="O26" s="172"/>
      <c r="P26" s="66">
        <f>ABR_2010!P28</f>
        <v>2.6400000000001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-1973.8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122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135</v>
      </c>
      <c r="H28" s="132"/>
      <c r="I28" s="138">
        <f t="shared" si="5"/>
      </c>
      <c r="J28" s="12"/>
      <c r="K28" s="7"/>
      <c r="L28" s="80" t="s">
        <v>113</v>
      </c>
      <c r="N28" s="175" t="s">
        <v>35</v>
      </c>
      <c r="O28" s="176"/>
      <c r="P28" s="66">
        <f>P19-P22+P26</f>
        <v>6.080000000000155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 t="s">
        <v>123</v>
      </c>
      <c r="D29" s="6">
        <v>2</v>
      </c>
      <c r="E29" s="10" t="str">
        <f t="shared" si="0"/>
        <v>LAZER</v>
      </c>
      <c r="F29" s="10" t="str">
        <f t="shared" si="4"/>
        <v>CUSTO VARIAVÉL</v>
      </c>
      <c r="G29" s="15">
        <v>40</v>
      </c>
      <c r="H29" s="132"/>
      <c r="I29" s="138">
        <f t="shared" si="5"/>
      </c>
      <c r="J29" s="12"/>
      <c r="K29" s="13"/>
      <c r="L29" s="80" t="s">
        <v>101</v>
      </c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 t="s">
        <v>125</v>
      </c>
      <c r="D30" s="6">
        <v>2</v>
      </c>
      <c r="E30" s="10" t="str">
        <f t="shared" si="0"/>
        <v>LAZER</v>
      </c>
      <c r="F30" s="10" t="str">
        <f t="shared" si="4"/>
        <v>CUSTO VARIAVÉL</v>
      </c>
      <c r="G30" s="15">
        <v>16.8</v>
      </c>
      <c r="H30" s="132"/>
      <c r="I30" s="138">
        <f t="shared" si="5"/>
      </c>
      <c r="J30" s="12"/>
      <c r="K30" s="7"/>
      <c r="L30" s="80" t="s">
        <v>114</v>
      </c>
      <c r="N30" s="124" t="s">
        <v>80</v>
      </c>
      <c r="O30" s="127" t="s">
        <v>68</v>
      </c>
      <c r="P30" s="110">
        <f>SUMIF($B$7:$B$33,O30,$G$7:$G$47)</f>
        <v>100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0</v>
      </c>
    </row>
    <row r="32" spans="2:19" ht="13.5" thickBot="1">
      <c r="B32">
        <f>K46</f>
        <v>0</v>
      </c>
      <c r="C32" s="79"/>
      <c r="D32" s="6"/>
      <c r="E32" s="10">
        <f t="shared" si="0"/>
        <v>0</v>
      </c>
      <c r="F32" s="10">
        <f t="shared" si="4"/>
        <v>0</v>
      </c>
      <c r="G32" s="15"/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/>
      <c r="D33" s="6"/>
      <c r="E33" s="10">
        <f t="shared" si="0"/>
        <v>0</v>
      </c>
      <c r="F33" s="10">
        <f t="shared" si="4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2:O22"/>
    <mergeCell ref="N23:O23"/>
    <mergeCell ref="N24:O24"/>
    <mergeCell ref="N25:O25"/>
    <mergeCell ref="N26:O26"/>
    <mergeCell ref="N27:O27"/>
    <mergeCell ref="N28:O2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/>
  <dimension ref="B1:AF47"/>
  <sheetViews>
    <sheetView showGridLines="0" showZeros="0" zoomScalePageLayoutView="0" workbookViewId="0" topLeftCell="A1">
      <selection activeCell="G18" sqref="G18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48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2003.8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/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>
        <f t="shared" si="3"/>
        <v>0</v>
      </c>
      <c r="C12" s="79"/>
      <c r="D12" s="6"/>
      <c r="E12" s="10">
        <f t="shared" si="0"/>
        <v>0</v>
      </c>
      <c r="F12" s="10">
        <f t="shared" si="4"/>
        <v>0</v>
      </c>
      <c r="G12" s="15"/>
      <c r="H12" s="132"/>
      <c r="I12" s="138">
        <f t="shared" si="5"/>
      </c>
      <c r="J12" s="12"/>
      <c r="K12" s="13"/>
      <c r="L12" s="80"/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>
        <f t="shared" si="3"/>
        <v>0</v>
      </c>
      <c r="C13" s="79"/>
      <c r="D13" s="6"/>
      <c r="E13" s="10">
        <f t="shared" si="0"/>
        <v>0</v>
      </c>
      <c r="F13" s="10">
        <f t="shared" si="4"/>
        <v>0</v>
      </c>
      <c r="G13" s="15"/>
      <c r="H13" s="132"/>
      <c r="I13" s="138">
        <f t="shared" si="5"/>
      </c>
      <c r="J13" s="12"/>
      <c r="K13" s="13"/>
      <c r="L13" s="80"/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>
        <f t="shared" si="3"/>
        <v>0</v>
      </c>
      <c r="C14" s="79"/>
      <c r="D14" s="6"/>
      <c r="E14" s="10">
        <f t="shared" si="0"/>
        <v>0</v>
      </c>
      <c r="F14" s="10">
        <f t="shared" si="4"/>
        <v>0</v>
      </c>
      <c r="G14" s="15"/>
      <c r="H14" s="132"/>
      <c r="I14" s="138">
        <f t="shared" si="5"/>
      </c>
      <c r="J14" s="12"/>
      <c r="K14" s="13"/>
      <c r="L14" s="80"/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/>
      <c r="D15" s="6"/>
      <c r="E15" s="10">
        <f t="shared" si="0"/>
        <v>0</v>
      </c>
      <c r="F15" s="10">
        <f t="shared" si="4"/>
        <v>0</v>
      </c>
      <c r="G15" s="15"/>
      <c r="H15" s="132"/>
      <c r="I15" s="138">
        <f t="shared" si="5"/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102</v>
      </c>
      <c r="D16" s="6">
        <v>6</v>
      </c>
      <c r="E16" s="10" t="str">
        <f t="shared" si="0"/>
        <v>TRANSPORTE</v>
      </c>
      <c r="F16" s="10" t="str">
        <f t="shared" si="4"/>
        <v>CUSTO FIXO / VARIAVÉL</v>
      </c>
      <c r="G16" s="15">
        <v>1100</v>
      </c>
      <c r="H16" s="132"/>
      <c r="I16" s="138">
        <f t="shared" si="5"/>
      </c>
      <c r="J16" s="12"/>
      <c r="K16" s="7"/>
      <c r="L16" s="80" t="s">
        <v>114</v>
      </c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435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151.8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 t="s">
        <v>104</v>
      </c>
      <c r="D21" s="6">
        <v>1</v>
      </c>
      <c r="E21" s="10" t="str">
        <f t="shared" si="0"/>
        <v>VESTUARIO</v>
      </c>
      <c r="F21" s="10" t="str">
        <f t="shared" si="4"/>
        <v>CUSTO VARIAVÉL</v>
      </c>
      <c r="G21" s="15">
        <v>270</v>
      </c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 t="str">
        <f t="shared" si="3"/>
        <v>A</v>
      </c>
      <c r="C22" s="79" t="s">
        <v>105</v>
      </c>
      <c r="D22" s="6">
        <v>1</v>
      </c>
      <c r="E22" s="10" t="str">
        <f t="shared" si="0"/>
        <v>VESTUARIO</v>
      </c>
      <c r="F22" s="10" t="str">
        <f t="shared" si="4"/>
        <v>CUSTO VARIAVÉL</v>
      </c>
      <c r="G22" s="15">
        <v>100</v>
      </c>
      <c r="H22" s="132"/>
      <c r="I22" s="138">
        <f t="shared" si="5"/>
      </c>
      <c r="J22" s="12"/>
      <c r="K22" s="7" t="s">
        <v>68</v>
      </c>
      <c r="L22" s="80" t="s">
        <v>111</v>
      </c>
      <c r="N22" s="169" t="s">
        <v>73</v>
      </c>
      <c r="O22" s="170"/>
      <c r="P22" s="66">
        <f>G5</f>
        <v>2003.8</v>
      </c>
      <c r="Q22" s="145">
        <v>4</v>
      </c>
      <c r="R22" s="148" t="str">
        <f t="shared" si="6"/>
        <v>INVESTIMENTO</v>
      </c>
      <c r="S22" s="143">
        <f t="shared" si="7"/>
        <v>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/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2003.8</v>
      </c>
      <c r="Q24" s="145">
        <v>6</v>
      </c>
      <c r="R24" s="148" t="str">
        <f t="shared" si="6"/>
        <v>TRANSPORTE</v>
      </c>
      <c r="S24" s="143">
        <f t="shared" si="7"/>
        <v>1100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/>
      <c r="D25" s="6"/>
      <c r="E25" s="10">
        <f>IF(D25=0,0,VLOOKUP(D25,$U$7:$V$25,2,FALSE))</f>
        <v>0</v>
      </c>
      <c r="F25" s="10">
        <f>IF(D25=0,0,VLOOKUP(D25,$U$8:$W$25,3,FALSE))</f>
        <v>0</v>
      </c>
      <c r="G25" s="15"/>
      <c r="H25" s="132"/>
      <c r="I25" s="138">
        <f t="shared" si="5"/>
      </c>
      <c r="J25" s="12"/>
      <c r="K25" s="7"/>
      <c r="L25" s="80"/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/>
      <c r="D26" s="6"/>
      <c r="E26" s="10">
        <f t="shared" si="0"/>
        <v>0</v>
      </c>
      <c r="F26" s="10">
        <f t="shared" si="4"/>
        <v>0</v>
      </c>
      <c r="G26" s="15"/>
      <c r="H26" s="132"/>
      <c r="I26" s="138">
        <f t="shared" si="5"/>
      </c>
      <c r="J26" s="12"/>
      <c r="K26" s="7"/>
      <c r="L26" s="80"/>
      <c r="N26" s="171" t="s">
        <v>34</v>
      </c>
      <c r="O26" s="172"/>
      <c r="P26" s="66">
        <f>MAI_2010!P28</f>
        <v>6.080000000000155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-2003.8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122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135</v>
      </c>
      <c r="H28" s="132"/>
      <c r="I28" s="138">
        <f t="shared" si="5"/>
      </c>
      <c r="J28" s="12"/>
      <c r="K28" s="7"/>
      <c r="L28" s="80" t="s">
        <v>114</v>
      </c>
      <c r="N28" s="175" t="s">
        <v>35</v>
      </c>
      <c r="O28" s="176"/>
      <c r="P28" s="66">
        <f>P19-P22+P26</f>
        <v>-20.47999999999979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/>
      <c r="D29" s="6"/>
      <c r="E29" s="10">
        <f t="shared" si="0"/>
        <v>0</v>
      </c>
      <c r="F29" s="10">
        <f t="shared" si="4"/>
        <v>0</v>
      </c>
      <c r="G29" s="15"/>
      <c r="H29" s="132"/>
      <c r="I29" s="138">
        <f t="shared" si="5"/>
      </c>
      <c r="J29" s="12"/>
      <c r="K29" s="13"/>
      <c r="L29" s="80"/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 t="s">
        <v>125</v>
      </c>
      <c r="D30" s="6">
        <v>2</v>
      </c>
      <c r="E30" s="10" t="str">
        <f t="shared" si="0"/>
        <v>LAZER</v>
      </c>
      <c r="F30" s="10" t="str">
        <f t="shared" si="4"/>
        <v>CUSTO VARIAVÉL</v>
      </c>
      <c r="G30" s="15">
        <v>16.8</v>
      </c>
      <c r="H30" s="132"/>
      <c r="I30" s="138">
        <f t="shared" si="5"/>
      </c>
      <c r="J30" s="12"/>
      <c r="K30" s="7"/>
      <c r="L30" s="80" t="s">
        <v>115</v>
      </c>
      <c r="N30" s="124" t="s">
        <v>80</v>
      </c>
      <c r="O30" s="127" t="s">
        <v>68</v>
      </c>
      <c r="P30" s="110">
        <f>SUMIF($B$7:$B$33,O30,$G$7:$G$47)</f>
        <v>100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0</v>
      </c>
    </row>
    <row r="32" spans="2:19" ht="13.5" thickBot="1">
      <c r="B32">
        <f>K46</f>
        <v>0</v>
      </c>
      <c r="C32" s="79"/>
      <c r="D32" s="6"/>
      <c r="E32" s="10">
        <f t="shared" si="0"/>
        <v>0</v>
      </c>
      <c r="F32" s="10">
        <f t="shared" si="4"/>
        <v>0</v>
      </c>
      <c r="G32" s="15"/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/>
      <c r="D33" s="6"/>
      <c r="E33" s="10">
        <f t="shared" si="0"/>
        <v>0</v>
      </c>
      <c r="F33" s="10">
        <f t="shared" si="4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2:O22"/>
    <mergeCell ref="N23:O23"/>
    <mergeCell ref="N24:O24"/>
    <mergeCell ref="N25:O25"/>
    <mergeCell ref="N26:O26"/>
    <mergeCell ref="N27:O27"/>
    <mergeCell ref="N28:O28"/>
  </mergeCells>
  <conditionalFormatting sqref="C31:L31 C46:L47">
    <cfRule type="expression" priority="1" dxfId="0" stopIfTrue="1">
      <formula>$G31&lt;0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7"/>
  <dimension ref="B1:AF47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49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1983.8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/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>
        <f t="shared" si="3"/>
        <v>0</v>
      </c>
      <c r="C12" s="79"/>
      <c r="D12" s="6"/>
      <c r="E12" s="10">
        <f t="shared" si="0"/>
        <v>0</v>
      </c>
      <c r="F12" s="10">
        <f t="shared" si="4"/>
        <v>0</v>
      </c>
      <c r="G12" s="15"/>
      <c r="H12" s="132"/>
      <c r="I12" s="138">
        <f t="shared" si="5"/>
      </c>
      <c r="J12" s="12"/>
      <c r="K12" s="13"/>
      <c r="L12" s="80"/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>
        <f t="shared" si="3"/>
        <v>0</v>
      </c>
      <c r="C13" s="79"/>
      <c r="D13" s="6"/>
      <c r="E13" s="10">
        <f t="shared" si="0"/>
        <v>0</v>
      </c>
      <c r="F13" s="10">
        <f t="shared" si="4"/>
        <v>0</v>
      </c>
      <c r="G13" s="15"/>
      <c r="H13" s="132"/>
      <c r="I13" s="138">
        <f t="shared" si="5"/>
      </c>
      <c r="J13" s="12"/>
      <c r="K13" s="13"/>
      <c r="L13" s="80"/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>
        <f t="shared" si="3"/>
        <v>0</v>
      </c>
      <c r="C14" s="79"/>
      <c r="D14" s="6"/>
      <c r="E14" s="10">
        <f t="shared" si="0"/>
        <v>0</v>
      </c>
      <c r="F14" s="10">
        <f t="shared" si="4"/>
        <v>0</v>
      </c>
      <c r="G14" s="15"/>
      <c r="H14" s="132"/>
      <c r="I14" s="138">
        <f t="shared" si="5"/>
      </c>
      <c r="J14" s="12"/>
      <c r="K14" s="13"/>
      <c r="L14" s="80"/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/>
      <c r="D15" s="6"/>
      <c r="E15" s="10">
        <f t="shared" si="0"/>
        <v>0</v>
      </c>
      <c r="F15" s="10">
        <f t="shared" si="4"/>
        <v>0</v>
      </c>
      <c r="G15" s="15"/>
      <c r="H15" s="132"/>
      <c r="I15" s="138">
        <f t="shared" si="5"/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102</v>
      </c>
      <c r="D16" s="6">
        <v>6</v>
      </c>
      <c r="E16" s="10" t="str">
        <f t="shared" si="0"/>
        <v>TRANSPORTE</v>
      </c>
      <c r="F16" s="10" t="str">
        <f t="shared" si="4"/>
        <v>CUSTO FIXO / VARIAVÉL</v>
      </c>
      <c r="G16" s="15">
        <v>1350</v>
      </c>
      <c r="H16" s="132"/>
      <c r="I16" s="138">
        <f t="shared" si="5"/>
      </c>
      <c r="J16" s="12"/>
      <c r="K16" s="7"/>
      <c r="L16" s="80" t="s">
        <v>115</v>
      </c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165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151.8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/>
      <c r="D21" s="6"/>
      <c r="E21" s="10">
        <f t="shared" si="0"/>
        <v>0</v>
      </c>
      <c r="F21" s="10">
        <f t="shared" si="4"/>
        <v>0</v>
      </c>
      <c r="G21" s="15"/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 t="str">
        <f t="shared" si="3"/>
        <v>A</v>
      </c>
      <c r="C22" s="79" t="s">
        <v>105</v>
      </c>
      <c r="D22" s="6">
        <v>1</v>
      </c>
      <c r="E22" s="10" t="str">
        <f t="shared" si="0"/>
        <v>VESTUARIO</v>
      </c>
      <c r="F22" s="10" t="str">
        <f>IF(D22=0,0,VLOOKUP(D22,$U$8:$W$25,3,FALSE))</f>
        <v>CUSTO VARIAVÉL</v>
      </c>
      <c r="G22" s="15">
        <v>100</v>
      </c>
      <c r="H22" s="132"/>
      <c r="I22" s="138">
        <f>IF(H22="","",G22)</f>
      </c>
      <c r="J22" s="12"/>
      <c r="K22" s="7" t="s">
        <v>68</v>
      </c>
      <c r="L22" s="80" t="s">
        <v>81</v>
      </c>
      <c r="N22" s="169" t="s">
        <v>73</v>
      </c>
      <c r="O22" s="170"/>
      <c r="P22" s="66">
        <f>G5</f>
        <v>1983.8</v>
      </c>
      <c r="Q22" s="145">
        <v>4</v>
      </c>
      <c r="R22" s="148" t="str">
        <f t="shared" si="6"/>
        <v>INVESTIMENTO</v>
      </c>
      <c r="S22" s="143">
        <f t="shared" si="7"/>
        <v>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/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1983.8</v>
      </c>
      <c r="Q24" s="145">
        <v>6</v>
      </c>
      <c r="R24" s="148" t="str">
        <f t="shared" si="6"/>
        <v>TRANSPORTE</v>
      </c>
      <c r="S24" s="143">
        <f t="shared" si="7"/>
        <v>1350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/>
      <c r="D25" s="6"/>
      <c r="E25" s="10">
        <f>IF(D25=0,0,VLOOKUP(D25,$U$7:$V$25,2,FALSE))</f>
        <v>0</v>
      </c>
      <c r="F25" s="10">
        <f>IF(D25=0,0,VLOOKUP(D25,$U$8:$W$25,3,FALSE))</f>
        <v>0</v>
      </c>
      <c r="G25" s="15"/>
      <c r="H25" s="132"/>
      <c r="I25" s="138">
        <f t="shared" si="5"/>
      </c>
      <c r="J25" s="12"/>
      <c r="K25" s="7"/>
      <c r="L25" s="80"/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/>
      <c r="D26" s="6"/>
      <c r="E26" s="10">
        <f t="shared" si="0"/>
        <v>0</v>
      </c>
      <c r="F26" s="10">
        <f t="shared" si="4"/>
        <v>0</v>
      </c>
      <c r="G26" s="15"/>
      <c r="H26" s="132"/>
      <c r="I26" s="138">
        <f t="shared" si="5"/>
      </c>
      <c r="J26" s="12"/>
      <c r="K26" s="7"/>
      <c r="L26" s="80"/>
      <c r="N26" s="171" t="s">
        <v>34</v>
      </c>
      <c r="O26" s="172"/>
      <c r="P26" s="66">
        <f>MAI_2010!P28</f>
        <v>6.080000000000155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-1983.8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122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135</v>
      </c>
      <c r="H28" s="132"/>
      <c r="I28" s="138">
        <f t="shared" si="5"/>
      </c>
      <c r="J28" s="12"/>
      <c r="K28" s="7"/>
      <c r="L28" s="80" t="s">
        <v>115</v>
      </c>
      <c r="N28" s="175" t="s">
        <v>35</v>
      </c>
      <c r="O28" s="176"/>
      <c r="P28" s="66">
        <f>P19-P22+P26</f>
        <v>-0.4799999999997908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/>
      <c r="D29" s="6"/>
      <c r="E29" s="10">
        <f t="shared" si="0"/>
        <v>0</v>
      </c>
      <c r="F29" s="10">
        <f t="shared" si="4"/>
        <v>0</v>
      </c>
      <c r="G29" s="15"/>
      <c r="H29" s="132"/>
      <c r="I29" s="138">
        <f t="shared" si="5"/>
      </c>
      <c r="J29" s="12"/>
      <c r="K29" s="13"/>
      <c r="L29" s="80"/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 t="s">
        <v>125</v>
      </c>
      <c r="D30" s="6">
        <v>2</v>
      </c>
      <c r="E30" s="10" t="str">
        <f t="shared" si="0"/>
        <v>LAZER</v>
      </c>
      <c r="F30" s="10" t="str">
        <f t="shared" si="4"/>
        <v>CUSTO VARIAVÉL</v>
      </c>
      <c r="G30" s="15">
        <v>16.8</v>
      </c>
      <c r="H30" s="132"/>
      <c r="I30" s="138">
        <f t="shared" si="5"/>
      </c>
      <c r="J30" s="12"/>
      <c r="K30" s="7"/>
      <c r="L30" s="80" t="s">
        <v>116</v>
      </c>
      <c r="N30" s="124" t="s">
        <v>80</v>
      </c>
      <c r="O30" s="127" t="s">
        <v>68</v>
      </c>
      <c r="P30" s="110">
        <f>SUMIF($B$7:$B$33,O30,$G$7:$G$47)</f>
        <v>100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0</v>
      </c>
    </row>
    <row r="32" spans="2:19" ht="13.5" thickBot="1">
      <c r="B32">
        <f>K46</f>
        <v>0</v>
      </c>
      <c r="C32" s="79"/>
      <c r="D32" s="6"/>
      <c r="E32" s="10">
        <f t="shared" si="0"/>
        <v>0</v>
      </c>
      <c r="F32" s="10">
        <f t="shared" si="4"/>
        <v>0</v>
      </c>
      <c r="G32" s="15"/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/>
      <c r="D33" s="6"/>
      <c r="E33" s="10">
        <f t="shared" si="0"/>
        <v>0</v>
      </c>
      <c r="F33" s="10">
        <f t="shared" si="4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4:O24"/>
    <mergeCell ref="N25:O25"/>
    <mergeCell ref="N26:O26"/>
    <mergeCell ref="N27:O27"/>
    <mergeCell ref="N22:O22"/>
    <mergeCell ref="N23:O23"/>
    <mergeCell ref="N28:O28"/>
  </mergeCells>
  <conditionalFormatting sqref="T118 T127 T55 T73:T74 T82:T83 T91:T92 T50 T64:T65 T100 T109 C46:L47">
    <cfRule type="expression" priority="1" dxfId="0" stopIfTrue="1">
      <formula>$G46&lt;0</formula>
    </cfRule>
  </conditionalFormatting>
  <conditionalFormatting sqref="M48:M49 R128 M85 M51 R110 R51 R101 R119 M122 M113 R48:R49 R92:R93 R83:R84 M56 M65 M75:M77 R60">
    <cfRule type="expression" priority="2" dxfId="0" stopIfTrue="1">
      <formula>$F48&lt;0</formula>
    </cfRule>
  </conditionalFormatting>
  <conditionalFormatting sqref="T47:T48">
    <cfRule type="expression" priority="5" dxfId="0" stopIfTrue="1">
      <formula>#REF!&lt;0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8"/>
  <dimension ref="B1:AF47"/>
  <sheetViews>
    <sheetView showGridLines="0" showZeros="0" zoomScalePageLayoutView="0" workbookViewId="0" topLeftCell="A22">
      <selection activeCell="A1" sqref="A1"/>
    </sheetView>
  </sheetViews>
  <sheetFormatPr defaultColWidth="9.140625" defaultRowHeight="12.75"/>
  <cols>
    <col min="1" max="1" width="0.71875" style="0" customWidth="1"/>
    <col min="2" max="2" width="0.9921875" style="0" hidden="1" customWidth="1"/>
    <col min="3" max="3" width="22.7109375" style="0" customWidth="1"/>
    <col min="4" max="4" width="4.421875" style="0" customWidth="1"/>
    <col min="5" max="5" width="11.140625" style="0" customWidth="1"/>
    <col min="6" max="6" width="10.28125" style="0" customWidth="1"/>
    <col min="7" max="7" width="11.140625" style="0" customWidth="1"/>
    <col min="8" max="8" width="4.57421875" style="0" customWidth="1"/>
    <col min="9" max="9" width="11.140625" style="0" customWidth="1"/>
    <col min="10" max="10" width="7.8515625" style="0" customWidth="1"/>
    <col min="11" max="11" width="12.57421875" style="0" customWidth="1"/>
    <col min="12" max="12" width="10.00390625" style="16" customWidth="1"/>
    <col min="13" max="13" width="0.5625" style="0" customWidth="1"/>
    <col min="14" max="14" width="21.7109375" style="0" customWidth="1"/>
    <col min="15" max="15" width="3.00390625" style="0" customWidth="1"/>
    <col min="16" max="16" width="12.140625" style="0" bestFit="1" customWidth="1"/>
    <col min="17" max="17" width="9.7109375" style="0" customWidth="1"/>
    <col min="18" max="18" width="10.8515625" style="0" customWidth="1"/>
    <col min="19" max="19" width="11.140625" style="0" customWidth="1"/>
    <col min="20" max="20" width="1.28515625" style="0" customWidth="1"/>
    <col min="21" max="26" width="9.140625" style="1" customWidth="1"/>
  </cols>
  <sheetData>
    <row r="1" spans="3:19" ht="12.75">
      <c r="C1" s="3" t="s">
        <v>50</v>
      </c>
      <c r="L1"/>
      <c r="N1" s="123" t="s">
        <v>21</v>
      </c>
      <c r="O1" s="177">
        <f ca="1">TODAY()</f>
        <v>42860</v>
      </c>
      <c r="P1" s="177"/>
      <c r="Q1" s="177"/>
      <c r="R1" s="177"/>
      <c r="S1" s="177"/>
    </row>
    <row r="2" ht="12.75">
      <c r="L2"/>
    </row>
    <row r="3" spans="3:12" s="1" customFormat="1" ht="13.5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3:26" s="1" customFormat="1" ht="12.75">
      <c r="C4" s="178" t="s">
        <v>22</v>
      </c>
      <c r="D4" s="180" t="s">
        <v>23</v>
      </c>
      <c r="E4" s="180" t="s">
        <v>24</v>
      </c>
      <c r="F4" s="182" t="s">
        <v>25</v>
      </c>
      <c r="G4" s="69" t="s">
        <v>66</v>
      </c>
      <c r="H4" s="188" t="s">
        <v>27</v>
      </c>
      <c r="I4" s="189"/>
      <c r="J4" s="180" t="s">
        <v>28</v>
      </c>
      <c r="K4" s="69" t="s">
        <v>39</v>
      </c>
      <c r="L4" s="184" t="s">
        <v>29</v>
      </c>
      <c r="N4" s="93" t="s">
        <v>22</v>
      </c>
      <c r="O4" s="186" t="s">
        <v>23</v>
      </c>
      <c r="P4" s="94" t="s">
        <v>24</v>
      </c>
      <c r="Q4" s="182" t="s">
        <v>31</v>
      </c>
      <c r="R4" s="94" t="s">
        <v>26</v>
      </c>
      <c r="S4" s="191" t="s">
        <v>32</v>
      </c>
      <c r="U4" s="112"/>
      <c r="V4" s="113" t="s">
        <v>5</v>
      </c>
      <c r="W4" s="113"/>
      <c r="X4" s="113"/>
      <c r="Y4" s="113"/>
      <c r="Z4" s="114"/>
    </row>
    <row r="5" spans="3:26" ht="13.5" thickBot="1">
      <c r="C5" s="179"/>
      <c r="D5" s="181"/>
      <c r="E5" s="181"/>
      <c r="F5" s="183"/>
      <c r="G5" s="70">
        <f>SUBTOTAL(9,G7:G46)</f>
        <v>1983.8</v>
      </c>
      <c r="H5" s="129"/>
      <c r="I5" s="130">
        <f>SUBTOTAL(9,I7:I46)</f>
        <v>0</v>
      </c>
      <c r="J5" s="181"/>
      <c r="K5" s="71" t="s">
        <v>40</v>
      </c>
      <c r="L5" s="185"/>
      <c r="N5" s="99" t="s">
        <v>30</v>
      </c>
      <c r="O5" s="187"/>
      <c r="P5" s="100" t="s">
        <v>30</v>
      </c>
      <c r="Q5" s="190"/>
      <c r="R5" s="101">
        <f>SUM(R7:R16)</f>
        <v>1977.24</v>
      </c>
      <c r="S5" s="192"/>
      <c r="U5" s="115"/>
      <c r="V5" s="116" t="s">
        <v>1</v>
      </c>
      <c r="W5" s="11"/>
      <c r="X5" s="116" t="s">
        <v>3</v>
      </c>
      <c r="Y5" s="11" t="s">
        <v>0</v>
      </c>
      <c r="Z5" s="17">
        <v>2200</v>
      </c>
    </row>
    <row r="6" spans="3:26" ht="6.75" customHeight="1" thickBot="1">
      <c r="C6" s="88"/>
      <c r="D6" s="89"/>
      <c r="E6" s="90"/>
      <c r="F6" s="90"/>
      <c r="G6" s="90"/>
      <c r="H6" s="91"/>
      <c r="I6" s="140"/>
      <c r="J6" s="91"/>
      <c r="K6" s="91"/>
      <c r="L6" s="92"/>
      <c r="N6" s="106"/>
      <c r="O6" s="107"/>
      <c r="P6" s="107"/>
      <c r="Q6" s="107"/>
      <c r="R6" s="107"/>
      <c r="S6" s="108"/>
      <c r="U6" s="115"/>
      <c r="V6" s="11"/>
      <c r="W6" s="11"/>
      <c r="X6" s="11">
        <f>SUM(X7:X18)</f>
        <v>0</v>
      </c>
      <c r="Y6" s="11" t="s">
        <v>4</v>
      </c>
      <c r="Z6" s="117"/>
    </row>
    <row r="7" spans="2:26" ht="12.75">
      <c r="B7">
        <f>K7</f>
        <v>0</v>
      </c>
      <c r="C7" s="72" t="s">
        <v>95</v>
      </c>
      <c r="D7" s="73">
        <v>3</v>
      </c>
      <c r="E7" s="74" t="str">
        <f aca="true" t="shared" si="0" ref="E7:E47">IF(D7=0,0,VLOOKUP(D7,$U$7:$V$25,2,FALSE))</f>
        <v>EDUCAÇÃO</v>
      </c>
      <c r="F7" s="74" t="str">
        <f>IF(D7=0,0,VLOOKUP(D7,$U$8:$W$25,3,FALSE))</f>
        <v>CUSTO FIXO</v>
      </c>
      <c r="G7" s="75">
        <v>180</v>
      </c>
      <c r="H7" s="131"/>
      <c r="I7" s="137">
        <f>IF(H7="","",G7)</f>
      </c>
      <c r="J7" s="76"/>
      <c r="K7" s="77"/>
      <c r="L7" s="78"/>
      <c r="N7" s="102" t="s">
        <v>77</v>
      </c>
      <c r="O7" s="103">
        <v>1</v>
      </c>
      <c r="P7" s="9" t="str">
        <f aca="true" t="shared" si="1" ref="P7:P16">IF(O7=0,0,VLOOKUP(O7,$U$8:$Y$18,5,FALSE))</f>
        <v>FIXA MENSAL</v>
      </c>
      <c r="Q7" s="14">
        <v>40558</v>
      </c>
      <c r="R7" s="104">
        <v>920</v>
      </c>
      <c r="S7" s="105"/>
      <c r="U7" s="118"/>
      <c r="V7" s="116" t="s">
        <v>0</v>
      </c>
      <c r="W7" s="11"/>
      <c r="X7" s="11">
        <f aca="true" t="shared" si="2" ref="X7:X16">IF(S7&lt;&gt;0,R7,0)</f>
        <v>0</v>
      </c>
      <c r="Y7" s="11"/>
      <c r="Z7" s="117"/>
    </row>
    <row r="8" spans="2:26" ht="12.75">
      <c r="B8">
        <f aca="true" t="shared" si="3" ref="B8:B31">K8</f>
        <v>0</v>
      </c>
      <c r="C8" s="79" t="s">
        <v>96</v>
      </c>
      <c r="D8" s="6">
        <v>3</v>
      </c>
      <c r="E8" s="10" t="str">
        <f t="shared" si="0"/>
        <v>EDUCAÇÃO</v>
      </c>
      <c r="F8" s="10" t="str">
        <f aca="true" t="shared" si="4" ref="F8:F47">IF(D8=0,0,VLOOKUP(D8,$U$8:$W$25,3,FALSE))</f>
        <v>CUSTO FIXO</v>
      </c>
      <c r="G8" s="15">
        <v>60</v>
      </c>
      <c r="H8" s="132"/>
      <c r="I8" s="138">
        <f aca="true" t="shared" si="5" ref="I8:I47">IF(H8="","",G8)</f>
      </c>
      <c r="J8" s="12"/>
      <c r="K8" s="7"/>
      <c r="L8" s="80"/>
      <c r="N8" s="79" t="s">
        <v>107</v>
      </c>
      <c r="O8" s="5">
        <v>1</v>
      </c>
      <c r="P8" s="10" t="str">
        <f t="shared" si="1"/>
        <v>FIXA MENSAL</v>
      </c>
      <c r="Q8" s="12">
        <v>40573</v>
      </c>
      <c r="R8" s="4">
        <v>1057.24</v>
      </c>
      <c r="S8" s="95"/>
      <c r="U8" s="118">
        <v>1</v>
      </c>
      <c r="V8" s="116" t="s">
        <v>6</v>
      </c>
      <c r="W8" s="116" t="s">
        <v>18</v>
      </c>
      <c r="X8" s="11">
        <f t="shared" si="2"/>
        <v>0</v>
      </c>
      <c r="Y8" s="11" t="s">
        <v>37</v>
      </c>
      <c r="Z8" s="117"/>
    </row>
    <row r="9" spans="2:26" ht="12.75">
      <c r="B9">
        <f t="shared" si="3"/>
        <v>0</v>
      </c>
      <c r="C9" s="79" t="s">
        <v>97</v>
      </c>
      <c r="D9" s="6">
        <v>10</v>
      </c>
      <c r="E9" s="10" t="str">
        <f t="shared" si="0"/>
        <v>SAUDE</v>
      </c>
      <c r="F9" s="10" t="str">
        <f t="shared" si="4"/>
        <v>CUSTO VARIAVÉL</v>
      </c>
      <c r="G9" s="15">
        <v>35</v>
      </c>
      <c r="H9" s="132"/>
      <c r="I9" s="138">
        <f t="shared" si="5"/>
      </c>
      <c r="J9" s="12"/>
      <c r="K9" s="13"/>
      <c r="L9" s="80"/>
      <c r="N9" s="79"/>
      <c r="O9" s="5"/>
      <c r="P9" s="10">
        <f t="shared" si="1"/>
        <v>0</v>
      </c>
      <c r="Q9" s="12"/>
      <c r="R9" s="4"/>
      <c r="S9" s="95"/>
      <c r="U9" s="118">
        <v>2</v>
      </c>
      <c r="V9" s="116" t="s">
        <v>7</v>
      </c>
      <c r="W9" s="116" t="s">
        <v>18</v>
      </c>
      <c r="X9" s="11">
        <f t="shared" si="2"/>
        <v>0</v>
      </c>
      <c r="Y9" s="11" t="s">
        <v>17</v>
      </c>
      <c r="Z9" s="117"/>
    </row>
    <row r="10" spans="2:26" ht="12.75">
      <c r="B10">
        <f t="shared" si="3"/>
        <v>0</v>
      </c>
      <c r="C10" s="79" t="s">
        <v>75</v>
      </c>
      <c r="D10" s="6">
        <v>10</v>
      </c>
      <c r="E10" s="10" t="str">
        <f t="shared" si="0"/>
        <v>SAUDE</v>
      </c>
      <c r="F10" s="10" t="str">
        <f t="shared" si="4"/>
        <v>CUSTO VARIAVÉL</v>
      </c>
      <c r="G10" s="15">
        <v>15</v>
      </c>
      <c r="H10" s="132"/>
      <c r="I10" s="138">
        <f t="shared" si="5"/>
      </c>
      <c r="J10" s="12"/>
      <c r="K10" s="13"/>
      <c r="L10" s="80"/>
      <c r="N10" s="79"/>
      <c r="O10" s="5"/>
      <c r="P10" s="10">
        <f t="shared" si="1"/>
        <v>0</v>
      </c>
      <c r="Q10" s="12"/>
      <c r="R10" s="4"/>
      <c r="S10" s="95"/>
      <c r="U10" s="118">
        <v>3</v>
      </c>
      <c r="V10" s="116" t="s">
        <v>8</v>
      </c>
      <c r="W10" s="116" t="s">
        <v>19</v>
      </c>
      <c r="X10" s="11">
        <f t="shared" si="2"/>
        <v>0</v>
      </c>
      <c r="Y10" s="11" t="s">
        <v>16</v>
      </c>
      <c r="Z10" s="117"/>
    </row>
    <row r="11" spans="2:26" ht="12.75">
      <c r="B11">
        <f t="shared" si="3"/>
        <v>0</v>
      </c>
      <c r="C11" s="79" t="s">
        <v>136</v>
      </c>
      <c r="D11" s="6">
        <v>1</v>
      </c>
      <c r="E11" s="10" t="str">
        <f t="shared" si="0"/>
        <v>VESTUARIO</v>
      </c>
      <c r="F11" s="10" t="str">
        <f t="shared" si="4"/>
        <v>CUSTO VARIAVÉL</v>
      </c>
      <c r="G11" s="15">
        <v>30</v>
      </c>
      <c r="H11" s="132"/>
      <c r="I11" s="138">
        <f t="shared" si="5"/>
      </c>
      <c r="J11" s="12"/>
      <c r="K11" s="13"/>
      <c r="L11" s="80"/>
      <c r="N11" s="79"/>
      <c r="O11" s="5"/>
      <c r="P11" s="10">
        <f t="shared" si="1"/>
        <v>0</v>
      </c>
      <c r="Q11" s="12"/>
      <c r="R11" s="4"/>
      <c r="S11" s="95"/>
      <c r="U11" s="118">
        <v>4</v>
      </c>
      <c r="V11" s="116" t="s">
        <v>9</v>
      </c>
      <c r="W11" s="116" t="s">
        <v>19</v>
      </c>
      <c r="X11" s="11">
        <f t="shared" si="2"/>
        <v>0</v>
      </c>
      <c r="Y11" s="11" t="s">
        <v>15</v>
      </c>
      <c r="Z11" s="117"/>
    </row>
    <row r="12" spans="2:26" ht="12.75">
      <c r="B12">
        <f t="shared" si="3"/>
        <v>0</v>
      </c>
      <c r="C12" s="79"/>
      <c r="D12" s="6"/>
      <c r="E12" s="10">
        <f t="shared" si="0"/>
        <v>0</v>
      </c>
      <c r="F12" s="10">
        <f t="shared" si="4"/>
        <v>0</v>
      </c>
      <c r="G12" s="15"/>
      <c r="H12" s="132"/>
      <c r="I12" s="138">
        <f t="shared" si="5"/>
      </c>
      <c r="J12" s="12"/>
      <c r="K12" s="13"/>
      <c r="L12" s="80"/>
      <c r="N12" s="79"/>
      <c r="O12" s="5"/>
      <c r="P12" s="10">
        <f t="shared" si="1"/>
        <v>0</v>
      </c>
      <c r="Q12" s="12"/>
      <c r="R12" s="4"/>
      <c r="S12" s="95"/>
      <c r="U12" s="118">
        <v>5</v>
      </c>
      <c r="V12" s="116" t="s">
        <v>10</v>
      </c>
      <c r="W12" s="116" t="s">
        <v>20</v>
      </c>
      <c r="X12" s="11">
        <f t="shared" si="2"/>
        <v>0</v>
      </c>
      <c r="Y12" s="11" t="s">
        <v>38</v>
      </c>
      <c r="Z12" s="117"/>
    </row>
    <row r="13" spans="2:26" ht="12.75">
      <c r="B13">
        <f t="shared" si="3"/>
        <v>0</v>
      </c>
      <c r="C13" s="79"/>
      <c r="D13" s="6"/>
      <c r="E13" s="10">
        <f t="shared" si="0"/>
        <v>0</v>
      </c>
      <c r="F13" s="10">
        <f t="shared" si="4"/>
        <v>0</v>
      </c>
      <c r="G13" s="15"/>
      <c r="H13" s="132"/>
      <c r="I13" s="138">
        <f t="shared" si="5"/>
      </c>
      <c r="J13" s="12"/>
      <c r="K13" s="13"/>
      <c r="L13" s="80"/>
      <c r="N13" s="79"/>
      <c r="O13" s="5"/>
      <c r="P13" s="10">
        <f t="shared" si="1"/>
        <v>0</v>
      </c>
      <c r="Q13" s="12"/>
      <c r="R13" s="4"/>
      <c r="S13" s="95"/>
      <c r="U13" s="118">
        <v>6</v>
      </c>
      <c r="V13" s="116" t="s">
        <v>11</v>
      </c>
      <c r="W13" s="116" t="s">
        <v>20</v>
      </c>
      <c r="X13" s="11">
        <f t="shared" si="2"/>
        <v>0</v>
      </c>
      <c r="Y13" s="11"/>
      <c r="Z13" s="117"/>
    </row>
    <row r="14" spans="2:26" ht="12.75">
      <c r="B14">
        <f t="shared" si="3"/>
        <v>0</v>
      </c>
      <c r="C14" s="79"/>
      <c r="D14" s="6"/>
      <c r="E14" s="10">
        <f t="shared" si="0"/>
        <v>0</v>
      </c>
      <c r="F14" s="10">
        <f t="shared" si="4"/>
        <v>0</v>
      </c>
      <c r="G14" s="15"/>
      <c r="H14" s="132"/>
      <c r="I14" s="138">
        <f t="shared" si="5"/>
      </c>
      <c r="J14" s="12"/>
      <c r="K14" s="13"/>
      <c r="L14" s="80"/>
      <c r="N14" s="79"/>
      <c r="O14" s="5"/>
      <c r="P14" s="10">
        <f t="shared" si="1"/>
        <v>0</v>
      </c>
      <c r="Q14" s="12"/>
      <c r="R14" s="4"/>
      <c r="S14" s="95"/>
      <c r="U14" s="118">
        <v>7</v>
      </c>
      <c r="V14" s="116" t="s">
        <v>12</v>
      </c>
      <c r="W14" s="116" t="s">
        <v>20</v>
      </c>
      <c r="X14" s="11">
        <f t="shared" si="2"/>
        <v>0</v>
      </c>
      <c r="Y14" s="11"/>
      <c r="Z14" s="117"/>
    </row>
    <row r="15" spans="2:26" ht="12.75">
      <c r="B15">
        <f t="shared" si="3"/>
        <v>0</v>
      </c>
      <c r="C15" s="79"/>
      <c r="D15" s="6"/>
      <c r="E15" s="10">
        <f t="shared" si="0"/>
        <v>0</v>
      </c>
      <c r="F15" s="10">
        <f t="shared" si="4"/>
        <v>0</v>
      </c>
      <c r="G15" s="15"/>
      <c r="H15" s="132"/>
      <c r="I15" s="138">
        <f t="shared" si="5"/>
      </c>
      <c r="J15" s="12"/>
      <c r="K15" s="13"/>
      <c r="L15" s="80"/>
      <c r="N15" s="79"/>
      <c r="O15" s="5"/>
      <c r="P15" s="10">
        <f t="shared" si="1"/>
        <v>0</v>
      </c>
      <c r="Q15" s="12"/>
      <c r="R15" s="4"/>
      <c r="S15" s="95"/>
      <c r="U15" s="118">
        <v>8</v>
      </c>
      <c r="V15" s="116" t="s">
        <v>13</v>
      </c>
      <c r="W15" s="116" t="s">
        <v>19</v>
      </c>
      <c r="X15" s="11">
        <f t="shared" si="2"/>
        <v>0</v>
      </c>
      <c r="Y15" s="11"/>
      <c r="Z15" s="117"/>
    </row>
    <row r="16" spans="2:26" ht="13.5" thickBot="1">
      <c r="B16">
        <f t="shared" si="3"/>
        <v>0</v>
      </c>
      <c r="C16" s="79" t="s">
        <v>102</v>
      </c>
      <c r="D16" s="6">
        <v>6</v>
      </c>
      <c r="E16" s="10" t="str">
        <f t="shared" si="0"/>
        <v>TRANSPORTE</v>
      </c>
      <c r="F16" s="10" t="str">
        <f t="shared" si="4"/>
        <v>CUSTO FIXO / VARIAVÉL</v>
      </c>
      <c r="G16" s="15">
        <v>1000</v>
      </c>
      <c r="H16" s="132"/>
      <c r="I16" s="138">
        <f t="shared" si="5"/>
      </c>
      <c r="J16" s="12"/>
      <c r="K16" s="7"/>
      <c r="L16" s="80" t="s">
        <v>116</v>
      </c>
      <c r="N16" s="81"/>
      <c r="O16" s="96"/>
      <c r="P16" s="83">
        <f t="shared" si="1"/>
        <v>0</v>
      </c>
      <c r="Q16" s="85"/>
      <c r="R16" s="97"/>
      <c r="S16" s="98"/>
      <c r="U16" s="118">
        <v>9</v>
      </c>
      <c r="V16" s="116" t="s">
        <v>14</v>
      </c>
      <c r="W16" s="116" t="s">
        <v>19</v>
      </c>
      <c r="X16" s="11">
        <f t="shared" si="2"/>
        <v>0</v>
      </c>
      <c r="Y16" s="11"/>
      <c r="Z16" s="117"/>
    </row>
    <row r="17" spans="2:26" ht="13.5" thickBot="1">
      <c r="B17">
        <f t="shared" si="3"/>
        <v>0</v>
      </c>
      <c r="C17" s="79"/>
      <c r="D17" s="6"/>
      <c r="E17" s="10">
        <f t="shared" si="0"/>
        <v>0</v>
      </c>
      <c r="F17" s="10">
        <f t="shared" si="4"/>
        <v>0</v>
      </c>
      <c r="G17" s="15"/>
      <c r="H17" s="132"/>
      <c r="I17" s="138">
        <f t="shared" si="5"/>
      </c>
      <c r="J17" s="12"/>
      <c r="K17" s="7"/>
      <c r="L17" s="80"/>
      <c r="U17" s="118">
        <v>10</v>
      </c>
      <c r="V17" s="116" t="s">
        <v>42</v>
      </c>
      <c r="W17" s="116" t="s">
        <v>18</v>
      </c>
      <c r="X17" s="11"/>
      <c r="Y17" s="11"/>
      <c r="Z17" s="117"/>
    </row>
    <row r="18" spans="2:26" ht="13.5" thickBot="1">
      <c r="B18">
        <f t="shared" si="3"/>
        <v>0</v>
      </c>
      <c r="C18" s="79" t="s">
        <v>76</v>
      </c>
      <c r="D18" s="6">
        <v>1</v>
      </c>
      <c r="E18" s="10" t="str">
        <f t="shared" si="0"/>
        <v>VESTUARIO</v>
      </c>
      <c r="F18" s="10" t="str">
        <f t="shared" si="4"/>
        <v>CUSTO VARIAVÉL</v>
      </c>
      <c r="G18" s="15">
        <v>35</v>
      </c>
      <c r="H18" s="132"/>
      <c r="I18" s="138">
        <f t="shared" si="5"/>
      </c>
      <c r="J18" s="12"/>
      <c r="K18" s="7"/>
      <c r="L18" s="80"/>
      <c r="N18" s="193" t="s">
        <v>65</v>
      </c>
      <c r="O18" s="194"/>
      <c r="P18" s="141" t="s">
        <v>63</v>
      </c>
      <c r="Q18" s="150" t="s">
        <v>94</v>
      </c>
      <c r="R18" s="151" t="s">
        <v>93</v>
      </c>
      <c r="S18" s="152" t="s">
        <v>26</v>
      </c>
      <c r="U18" s="118">
        <v>11</v>
      </c>
      <c r="V18" s="116" t="s">
        <v>36</v>
      </c>
      <c r="W18" s="116" t="s">
        <v>18</v>
      </c>
      <c r="X18" s="11"/>
      <c r="Y18" s="116" t="s">
        <v>36</v>
      </c>
      <c r="Z18" s="117"/>
    </row>
    <row r="19" spans="2:26" ht="12.75">
      <c r="B19">
        <f t="shared" si="3"/>
        <v>0</v>
      </c>
      <c r="C19" s="79" t="s">
        <v>90</v>
      </c>
      <c r="D19" s="6">
        <v>8</v>
      </c>
      <c r="E19" s="10" t="str">
        <f t="shared" si="0"/>
        <v>TELEFONIA</v>
      </c>
      <c r="F19" s="10" t="str">
        <f t="shared" si="4"/>
        <v>CUSTO FIXO</v>
      </c>
      <c r="G19" s="15">
        <v>12</v>
      </c>
      <c r="H19" s="132"/>
      <c r="I19" s="138">
        <f t="shared" si="5"/>
      </c>
      <c r="J19" s="12"/>
      <c r="K19" s="7"/>
      <c r="L19" s="80"/>
      <c r="N19" s="195" t="s">
        <v>71</v>
      </c>
      <c r="O19" s="196"/>
      <c r="P19" s="142">
        <f>R5</f>
        <v>1977.24</v>
      </c>
      <c r="Q19" s="144">
        <v>1</v>
      </c>
      <c r="R19" s="148" t="str">
        <f>VLOOKUP(Q19,U8:V22,2,FALSE)</f>
        <v>VESTUARIO</v>
      </c>
      <c r="S19" s="143">
        <f>SUMIF($D$7:$D$47,Q19,$G$7:$G$47)</f>
        <v>165</v>
      </c>
      <c r="U19" s="118">
        <v>12</v>
      </c>
      <c r="V19" s="116" t="s">
        <v>51</v>
      </c>
      <c r="W19" s="116" t="s">
        <v>18</v>
      </c>
      <c r="X19" s="11"/>
      <c r="Y19" s="116"/>
      <c r="Z19" s="117"/>
    </row>
    <row r="20" spans="2:26" ht="12.75">
      <c r="B20">
        <f t="shared" si="3"/>
        <v>0</v>
      </c>
      <c r="C20" s="79" t="s">
        <v>103</v>
      </c>
      <c r="D20" s="6">
        <v>10</v>
      </c>
      <c r="E20" s="10" t="str">
        <f t="shared" si="0"/>
        <v>SAUDE</v>
      </c>
      <c r="F20" s="10" t="str">
        <f t="shared" si="4"/>
        <v>CUSTO VARIAVÉL</v>
      </c>
      <c r="G20" s="15">
        <v>15</v>
      </c>
      <c r="H20" s="132"/>
      <c r="I20" s="138">
        <f t="shared" si="5"/>
      </c>
      <c r="J20" s="12"/>
      <c r="K20" s="7"/>
      <c r="L20" s="80"/>
      <c r="N20" s="169" t="s">
        <v>33</v>
      </c>
      <c r="O20" s="170"/>
      <c r="P20" s="109">
        <f>X6</f>
        <v>0</v>
      </c>
      <c r="Q20" s="145">
        <v>2</v>
      </c>
      <c r="R20" s="148" t="str">
        <f aca="true" t="shared" si="6" ref="R20:R32">VLOOKUP(Q20,U9:V23,2,FALSE)</f>
        <v>LAZER</v>
      </c>
      <c r="S20" s="143">
        <f aca="true" t="shared" si="7" ref="S20:S32">SUMIF($D$7:$D$47,Q20,$G$7:$G$47)</f>
        <v>151.8</v>
      </c>
      <c r="U20" s="118">
        <v>13</v>
      </c>
      <c r="V20" s="116" t="s">
        <v>52</v>
      </c>
      <c r="W20" s="116" t="s">
        <v>18</v>
      </c>
      <c r="X20" s="11"/>
      <c r="Y20" s="116"/>
      <c r="Z20" s="117"/>
    </row>
    <row r="21" spans="2:26" ht="12.75">
      <c r="B21">
        <f t="shared" si="3"/>
        <v>0</v>
      </c>
      <c r="C21" s="79"/>
      <c r="D21" s="6"/>
      <c r="E21" s="10">
        <f t="shared" si="0"/>
        <v>0</v>
      </c>
      <c r="F21" s="10">
        <f t="shared" si="4"/>
        <v>0</v>
      </c>
      <c r="G21" s="15"/>
      <c r="H21" s="132"/>
      <c r="I21" s="138">
        <f t="shared" si="5"/>
      </c>
      <c r="J21" s="12"/>
      <c r="K21" s="7"/>
      <c r="L21" s="80"/>
      <c r="N21" s="167" t="s">
        <v>66</v>
      </c>
      <c r="O21" s="168"/>
      <c r="P21" s="111" t="s">
        <v>63</v>
      </c>
      <c r="Q21" s="146">
        <v>3</v>
      </c>
      <c r="R21" s="148" t="str">
        <f t="shared" si="6"/>
        <v>EDUCAÇÃO</v>
      </c>
      <c r="S21" s="143">
        <f t="shared" si="7"/>
        <v>240</v>
      </c>
      <c r="U21" s="118">
        <v>14</v>
      </c>
      <c r="V21" s="116" t="s">
        <v>53</v>
      </c>
      <c r="W21" s="116" t="s">
        <v>18</v>
      </c>
      <c r="X21" s="11"/>
      <c r="Y21" s="116"/>
      <c r="Z21" s="117"/>
    </row>
    <row r="22" spans="2:26" ht="12.75">
      <c r="B22" t="str">
        <f t="shared" si="3"/>
        <v>A</v>
      </c>
      <c r="C22" s="79" t="s">
        <v>105</v>
      </c>
      <c r="D22" s="6">
        <v>1</v>
      </c>
      <c r="E22" s="10" t="str">
        <f t="shared" si="0"/>
        <v>VESTUARIO</v>
      </c>
      <c r="F22" s="10" t="str">
        <f t="shared" si="4"/>
        <v>CUSTO VARIAVÉL</v>
      </c>
      <c r="G22" s="15">
        <v>100</v>
      </c>
      <c r="H22" s="132"/>
      <c r="I22" s="138">
        <f t="shared" si="5"/>
      </c>
      <c r="J22" s="12"/>
      <c r="K22" s="7" t="s">
        <v>68</v>
      </c>
      <c r="L22" s="80" t="s">
        <v>99</v>
      </c>
      <c r="N22" s="169" t="s">
        <v>73</v>
      </c>
      <c r="O22" s="170"/>
      <c r="P22" s="66">
        <f>G5</f>
        <v>1983.8</v>
      </c>
      <c r="Q22" s="145">
        <v>4</v>
      </c>
      <c r="R22" s="148" t="str">
        <f t="shared" si="6"/>
        <v>INVESTIMENTO</v>
      </c>
      <c r="S22" s="143">
        <f t="shared" si="7"/>
        <v>350</v>
      </c>
      <c r="U22" s="118">
        <v>15</v>
      </c>
      <c r="V22" s="116"/>
      <c r="W22" s="116"/>
      <c r="X22" s="11"/>
      <c r="Y22" s="116"/>
      <c r="Z22" s="117"/>
    </row>
    <row r="23" spans="2:26" ht="12.75">
      <c r="B23">
        <f>K23</f>
        <v>0</v>
      </c>
      <c r="C23" s="79"/>
      <c r="D23" s="6"/>
      <c r="E23" s="10">
        <f>IF(D23=0,0,VLOOKUP(D23,$U$7:$V$25,2,FALSE))</f>
        <v>0</v>
      </c>
      <c r="F23" s="10">
        <f>IF(D23=0,0,VLOOKUP(D23,$U$8:$W$25,3,FALSE))</f>
        <v>0</v>
      </c>
      <c r="G23" s="15"/>
      <c r="H23" s="132"/>
      <c r="I23" s="138">
        <f t="shared" si="5"/>
      </c>
      <c r="J23" s="12"/>
      <c r="K23" s="7"/>
      <c r="L23" s="80"/>
      <c r="N23" s="169" t="s">
        <v>74</v>
      </c>
      <c r="O23" s="170"/>
      <c r="P23" s="66">
        <f>I5</f>
        <v>0</v>
      </c>
      <c r="Q23" s="146">
        <v>5</v>
      </c>
      <c r="R23" s="148" t="str">
        <f t="shared" si="6"/>
        <v>MORADIA</v>
      </c>
      <c r="S23" s="143">
        <f t="shared" si="7"/>
        <v>0</v>
      </c>
      <c r="U23" s="118"/>
      <c r="V23" s="116"/>
      <c r="W23" s="116"/>
      <c r="X23" s="11"/>
      <c r="Y23" s="116"/>
      <c r="Z23" s="117"/>
    </row>
    <row r="24" spans="2:26" ht="12.75">
      <c r="B24">
        <f>K24</f>
        <v>0</v>
      </c>
      <c r="C24" s="79" t="s">
        <v>106</v>
      </c>
      <c r="D24" s="6">
        <v>4</v>
      </c>
      <c r="E24" s="10" t="str">
        <f>IF(D24=0,0,VLOOKUP(D24,$U$7:$V$25,2,FALSE))</f>
        <v>INVESTIMENTO</v>
      </c>
      <c r="F24" s="10" t="str">
        <f>IF(D24=0,0,VLOOKUP(D24,$U$8:$W$25,3,FALSE))</f>
        <v>CUSTO FIXO</v>
      </c>
      <c r="G24" s="15">
        <v>350</v>
      </c>
      <c r="H24" s="132"/>
      <c r="I24" s="138">
        <f t="shared" si="5"/>
      </c>
      <c r="J24" s="12"/>
      <c r="K24" s="7"/>
      <c r="L24" s="80"/>
      <c r="N24" s="169" t="s">
        <v>72</v>
      </c>
      <c r="O24" s="170"/>
      <c r="P24" s="66">
        <f>P22-P23</f>
        <v>1983.8</v>
      </c>
      <c r="Q24" s="145">
        <v>6</v>
      </c>
      <c r="R24" s="148" t="str">
        <f t="shared" si="6"/>
        <v>TRANSPORTE</v>
      </c>
      <c r="S24" s="143">
        <f t="shared" si="7"/>
        <v>1000</v>
      </c>
      <c r="U24" s="118"/>
      <c r="V24" s="116"/>
      <c r="W24" s="116"/>
      <c r="X24" s="11"/>
      <c r="Y24" s="116"/>
      <c r="Z24" s="117"/>
    </row>
    <row r="25" spans="2:26" ht="12.75">
      <c r="B25">
        <f>K25</f>
        <v>0</v>
      </c>
      <c r="C25" s="79"/>
      <c r="D25" s="6"/>
      <c r="E25" s="10">
        <f>IF(D25=0,0,VLOOKUP(D25,$U$7:$V$25,2,FALSE))</f>
        <v>0</v>
      </c>
      <c r="F25" s="10">
        <f>IF(D25=0,0,VLOOKUP(D25,$U$8:$W$25,3,FALSE))</f>
        <v>0</v>
      </c>
      <c r="G25" s="15"/>
      <c r="H25" s="132"/>
      <c r="I25" s="138">
        <f t="shared" si="5"/>
      </c>
      <c r="J25" s="12"/>
      <c r="K25" s="7"/>
      <c r="L25" s="80"/>
      <c r="N25" s="165" t="s">
        <v>67</v>
      </c>
      <c r="O25" s="166"/>
      <c r="P25" s="111" t="s">
        <v>63</v>
      </c>
      <c r="Q25" s="146">
        <v>7</v>
      </c>
      <c r="R25" s="148" t="str">
        <f t="shared" si="6"/>
        <v>ALIMENTAÇÃO</v>
      </c>
      <c r="S25" s="143">
        <f t="shared" si="7"/>
        <v>0</v>
      </c>
      <c r="U25" s="118"/>
      <c r="V25" s="116"/>
      <c r="W25" s="116"/>
      <c r="X25" s="11"/>
      <c r="Y25" s="116"/>
      <c r="Z25" s="117"/>
    </row>
    <row r="26" spans="2:26" ht="12.75">
      <c r="B26">
        <f t="shared" si="3"/>
        <v>0</v>
      </c>
      <c r="C26" s="79"/>
      <c r="D26" s="6"/>
      <c r="E26" s="10">
        <f t="shared" si="0"/>
        <v>0</v>
      </c>
      <c r="F26" s="10">
        <f t="shared" si="4"/>
        <v>0</v>
      </c>
      <c r="G26" s="15"/>
      <c r="H26" s="132"/>
      <c r="I26" s="138">
        <f t="shared" si="5"/>
      </c>
      <c r="J26" s="12"/>
      <c r="K26" s="7"/>
      <c r="L26" s="80"/>
      <c r="N26" s="171" t="s">
        <v>34</v>
      </c>
      <c r="O26" s="172"/>
      <c r="P26" s="66">
        <f>JUL_2010!P28</f>
        <v>-0.4799999999997908</v>
      </c>
      <c r="Q26" s="145">
        <v>8</v>
      </c>
      <c r="R26" s="148" t="str">
        <f t="shared" si="6"/>
        <v>TELEFONIA</v>
      </c>
      <c r="S26" s="143">
        <f t="shared" si="7"/>
        <v>12</v>
      </c>
      <c r="U26" s="118"/>
      <c r="V26" s="116"/>
      <c r="W26" s="116"/>
      <c r="X26" s="11"/>
      <c r="Y26" s="116"/>
      <c r="Z26" s="117"/>
    </row>
    <row r="27" spans="2:26" ht="12.75">
      <c r="B27">
        <f t="shared" si="3"/>
        <v>0</v>
      </c>
      <c r="C27" s="79"/>
      <c r="D27" s="6"/>
      <c r="E27" s="10">
        <f t="shared" si="0"/>
        <v>0</v>
      </c>
      <c r="F27" s="10">
        <f t="shared" si="4"/>
        <v>0</v>
      </c>
      <c r="G27" s="15"/>
      <c r="H27" s="132"/>
      <c r="I27" s="138">
        <f t="shared" si="5"/>
      </c>
      <c r="J27" s="12"/>
      <c r="K27" s="7"/>
      <c r="L27" s="80"/>
      <c r="N27" s="173" t="s">
        <v>44</v>
      </c>
      <c r="O27" s="174"/>
      <c r="P27" s="67">
        <f>P20-P22</f>
        <v>-1983.8</v>
      </c>
      <c r="Q27" s="146">
        <v>9</v>
      </c>
      <c r="R27" s="148" t="str">
        <f t="shared" si="6"/>
        <v>DEPENDENTES</v>
      </c>
      <c r="S27" s="143">
        <f t="shared" si="7"/>
        <v>0</v>
      </c>
      <c r="U27" s="54"/>
      <c r="V27" s="53"/>
      <c r="W27" s="53"/>
      <c r="X27" s="53"/>
      <c r="Y27" s="53"/>
      <c r="Z27" s="55"/>
    </row>
    <row r="28" spans="2:26" ht="12.75">
      <c r="B28">
        <f t="shared" si="3"/>
        <v>0</v>
      </c>
      <c r="C28" s="79" t="s">
        <v>122</v>
      </c>
      <c r="D28" s="6">
        <v>2</v>
      </c>
      <c r="E28" s="10" t="str">
        <f t="shared" si="0"/>
        <v>LAZER</v>
      </c>
      <c r="F28" s="10" t="str">
        <f t="shared" si="4"/>
        <v>CUSTO VARIAVÉL</v>
      </c>
      <c r="G28" s="15">
        <v>135</v>
      </c>
      <c r="H28" s="132"/>
      <c r="I28" s="138">
        <f t="shared" si="5"/>
      </c>
      <c r="J28" s="12"/>
      <c r="K28" s="7"/>
      <c r="L28" s="80" t="s">
        <v>116</v>
      </c>
      <c r="N28" s="175" t="s">
        <v>35</v>
      </c>
      <c r="O28" s="176"/>
      <c r="P28" s="66">
        <f>P19-P22+P26</f>
        <v>-7.039999999999736</v>
      </c>
      <c r="Q28" s="145">
        <v>10</v>
      </c>
      <c r="R28" s="148" t="str">
        <f t="shared" si="6"/>
        <v>SAUDE</v>
      </c>
      <c r="S28" s="143">
        <f t="shared" si="7"/>
        <v>65</v>
      </c>
      <c r="U28" s="54"/>
      <c r="V28" s="53"/>
      <c r="W28" s="53"/>
      <c r="X28" s="53"/>
      <c r="Y28" s="53"/>
      <c r="Z28" s="55"/>
    </row>
    <row r="29" spans="2:26" ht="12.75">
      <c r="B29">
        <f t="shared" si="3"/>
        <v>0</v>
      </c>
      <c r="C29" s="79"/>
      <c r="D29" s="6"/>
      <c r="E29" s="10">
        <f t="shared" si="0"/>
        <v>0</v>
      </c>
      <c r="F29" s="10">
        <f t="shared" si="4"/>
        <v>0</v>
      </c>
      <c r="G29" s="15"/>
      <c r="H29" s="132"/>
      <c r="I29" s="138">
        <f t="shared" si="5"/>
      </c>
      <c r="J29" s="12"/>
      <c r="K29" s="13"/>
      <c r="L29" s="80"/>
      <c r="N29" s="165" t="s">
        <v>64</v>
      </c>
      <c r="O29" s="166"/>
      <c r="P29" s="111" t="s">
        <v>63</v>
      </c>
      <c r="Q29" s="146">
        <v>11</v>
      </c>
      <c r="R29" s="148" t="str">
        <f t="shared" si="6"/>
        <v>GESTÃO CONTAS PAI</v>
      </c>
      <c r="S29" s="143">
        <f t="shared" si="7"/>
        <v>0</v>
      </c>
      <c r="U29" s="119"/>
      <c r="V29" s="120"/>
      <c r="W29" s="120"/>
      <c r="X29" s="120"/>
      <c r="Y29" s="120"/>
      <c r="Z29" s="121"/>
    </row>
    <row r="30" spans="2:19" ht="12.75">
      <c r="B30">
        <f t="shared" si="3"/>
        <v>0</v>
      </c>
      <c r="C30" s="79" t="s">
        <v>125</v>
      </c>
      <c r="D30" s="6">
        <v>2</v>
      </c>
      <c r="E30" s="10" t="str">
        <f t="shared" si="0"/>
        <v>LAZER</v>
      </c>
      <c r="F30" s="10" t="str">
        <f t="shared" si="4"/>
        <v>CUSTO VARIAVÉL</v>
      </c>
      <c r="G30" s="15">
        <v>16.8</v>
      </c>
      <c r="H30" s="132"/>
      <c r="I30" s="138">
        <f t="shared" si="5"/>
      </c>
      <c r="J30" s="12"/>
      <c r="K30" s="7"/>
      <c r="L30" s="80" t="s">
        <v>117</v>
      </c>
      <c r="N30" s="124" t="s">
        <v>80</v>
      </c>
      <c r="O30" s="127" t="s">
        <v>68</v>
      </c>
      <c r="P30" s="110">
        <f>SUMIF($B$7:$B$33,O30,$G$7:$G$47)</f>
        <v>100</v>
      </c>
      <c r="Q30" s="145">
        <v>12</v>
      </c>
      <c r="R30" s="148" t="str">
        <f t="shared" si="6"/>
        <v>MANUTENÇÃO CARRO</v>
      </c>
      <c r="S30" s="143">
        <f t="shared" si="7"/>
        <v>0</v>
      </c>
    </row>
    <row r="31" spans="2:19" ht="12.75">
      <c r="B31">
        <f t="shared" si="3"/>
        <v>0</v>
      </c>
      <c r="C31" s="79"/>
      <c r="D31" s="6"/>
      <c r="E31" s="10">
        <f t="shared" si="0"/>
        <v>0</v>
      </c>
      <c r="F31" s="10">
        <f t="shared" si="4"/>
        <v>0</v>
      </c>
      <c r="G31" s="15"/>
      <c r="H31" s="132"/>
      <c r="I31" s="138">
        <f t="shared" si="5"/>
      </c>
      <c r="J31" s="12"/>
      <c r="K31" s="7"/>
      <c r="L31" s="80"/>
      <c r="N31" s="125" t="s">
        <v>133</v>
      </c>
      <c r="O31" s="127" t="s">
        <v>69</v>
      </c>
      <c r="P31" s="65">
        <f>SUMIF($B$7:$B$33,O31,$G$7:$G$47)</f>
        <v>0</v>
      </c>
      <c r="Q31" s="146">
        <v>13</v>
      </c>
      <c r="R31" s="148" t="str">
        <f t="shared" si="6"/>
        <v>DATAS COMEMORATIVAS</v>
      </c>
      <c r="S31" s="143">
        <f t="shared" si="7"/>
        <v>0</v>
      </c>
    </row>
    <row r="32" spans="2:19" ht="13.5" thickBot="1">
      <c r="B32">
        <f>K46</f>
        <v>0</v>
      </c>
      <c r="C32" s="79"/>
      <c r="D32" s="6"/>
      <c r="E32" s="10">
        <f t="shared" si="0"/>
        <v>0</v>
      </c>
      <c r="F32" s="10">
        <f t="shared" si="4"/>
        <v>0</v>
      </c>
      <c r="G32" s="15"/>
      <c r="H32" s="132"/>
      <c r="I32" s="138">
        <f t="shared" si="5"/>
      </c>
      <c r="J32" s="12"/>
      <c r="K32" s="7"/>
      <c r="L32" s="80"/>
      <c r="N32" s="126" t="s">
        <v>133</v>
      </c>
      <c r="O32" s="128" t="s">
        <v>70</v>
      </c>
      <c r="P32" s="68">
        <f>SUMIF($B$7:$B$33,O32,$G$7:$G$47)</f>
        <v>0</v>
      </c>
      <c r="Q32" s="147">
        <v>14</v>
      </c>
      <c r="R32" s="149" t="str">
        <f t="shared" si="6"/>
        <v>INDEFINIDO</v>
      </c>
      <c r="S32" s="153">
        <f t="shared" si="7"/>
        <v>0</v>
      </c>
    </row>
    <row r="33" spans="2:17" ht="12.75">
      <c r="B33">
        <f>K47</f>
        <v>0</v>
      </c>
      <c r="C33" s="79"/>
      <c r="D33" s="6"/>
      <c r="E33" s="10">
        <f t="shared" si="0"/>
        <v>0</v>
      </c>
      <c r="F33" s="10">
        <f t="shared" si="4"/>
        <v>0</v>
      </c>
      <c r="G33" s="15"/>
      <c r="H33" s="132"/>
      <c r="I33" s="138">
        <f t="shared" si="5"/>
      </c>
      <c r="J33" s="12"/>
      <c r="K33" s="7"/>
      <c r="L33" s="80"/>
      <c r="N33" s="8"/>
      <c r="P33" s="64"/>
      <c r="Q33" s="18"/>
    </row>
    <row r="34" spans="3:32" ht="12.75">
      <c r="C34" s="79"/>
      <c r="D34" s="6"/>
      <c r="E34" s="10">
        <f t="shared" si="0"/>
        <v>0</v>
      </c>
      <c r="F34" s="10">
        <f t="shared" si="4"/>
        <v>0</v>
      </c>
      <c r="G34" s="15"/>
      <c r="H34" s="132"/>
      <c r="I34" s="138">
        <f t="shared" si="5"/>
      </c>
      <c r="J34" s="12"/>
      <c r="K34" s="7"/>
      <c r="L34" s="80"/>
      <c r="M34" s="19" t="s">
        <v>43</v>
      </c>
      <c r="N34" s="19"/>
      <c r="O34" s="19"/>
      <c r="P34" s="19"/>
      <c r="Q34" s="19"/>
      <c r="T34" s="19" t="s">
        <v>43</v>
      </c>
      <c r="U34" s="122" t="s">
        <v>43</v>
      </c>
      <c r="V34" s="122" t="s">
        <v>43</v>
      </c>
      <c r="W34" s="122"/>
      <c r="X34" s="122" t="s">
        <v>43</v>
      </c>
      <c r="Y34" s="122" t="s">
        <v>43</v>
      </c>
      <c r="Z34" s="122" t="s">
        <v>43</v>
      </c>
      <c r="AA34" s="19" t="s">
        <v>43</v>
      </c>
      <c r="AB34" s="19" t="s">
        <v>43</v>
      </c>
      <c r="AC34" s="19"/>
      <c r="AD34" s="19" t="s">
        <v>43</v>
      </c>
      <c r="AE34" s="19" t="s">
        <v>43</v>
      </c>
      <c r="AF34" s="19" t="s">
        <v>43</v>
      </c>
    </row>
    <row r="35" spans="3:18" ht="12.75">
      <c r="C35" s="79"/>
      <c r="D35" s="6"/>
      <c r="E35" s="10">
        <f t="shared" si="0"/>
        <v>0</v>
      </c>
      <c r="F35" s="10">
        <f t="shared" si="4"/>
        <v>0</v>
      </c>
      <c r="G35" s="15"/>
      <c r="H35" s="132"/>
      <c r="I35" s="138">
        <f t="shared" si="5"/>
      </c>
      <c r="J35" s="12"/>
      <c r="K35" s="7"/>
      <c r="L35" s="80"/>
      <c r="R35" s="37"/>
    </row>
    <row r="36" spans="3:12" ht="12.75">
      <c r="C36" s="79"/>
      <c r="D36" s="6"/>
      <c r="E36" s="10">
        <f t="shared" si="0"/>
        <v>0</v>
      </c>
      <c r="F36" s="10">
        <f t="shared" si="4"/>
        <v>0</v>
      </c>
      <c r="G36" s="15"/>
      <c r="H36" s="132"/>
      <c r="I36" s="138">
        <f t="shared" si="5"/>
      </c>
      <c r="J36" s="12"/>
      <c r="K36" s="7"/>
      <c r="L36" s="80"/>
    </row>
    <row r="37" spans="3:12" ht="12.75">
      <c r="C37" s="79"/>
      <c r="D37" s="6"/>
      <c r="E37" s="10">
        <f t="shared" si="0"/>
        <v>0</v>
      </c>
      <c r="F37" s="10">
        <f t="shared" si="4"/>
        <v>0</v>
      </c>
      <c r="G37" s="15"/>
      <c r="H37" s="132"/>
      <c r="I37" s="138">
        <f t="shared" si="5"/>
      </c>
      <c r="J37" s="12"/>
      <c r="K37" s="7"/>
      <c r="L37" s="80"/>
    </row>
    <row r="38" spans="3:12" ht="12.75">
      <c r="C38" s="79"/>
      <c r="D38" s="6"/>
      <c r="E38" s="10">
        <f t="shared" si="0"/>
        <v>0</v>
      </c>
      <c r="F38" s="10">
        <f t="shared" si="4"/>
        <v>0</v>
      </c>
      <c r="G38" s="15"/>
      <c r="H38" s="132"/>
      <c r="I38" s="138">
        <f t="shared" si="5"/>
      </c>
      <c r="J38" s="12"/>
      <c r="K38" s="7"/>
      <c r="L38" s="80"/>
    </row>
    <row r="39" spans="3:12" ht="12.75">
      <c r="C39" s="79"/>
      <c r="D39" s="6"/>
      <c r="E39" s="10">
        <f t="shared" si="0"/>
        <v>0</v>
      </c>
      <c r="F39" s="10">
        <f t="shared" si="4"/>
        <v>0</v>
      </c>
      <c r="G39" s="15"/>
      <c r="H39" s="132"/>
      <c r="I39" s="138">
        <f t="shared" si="5"/>
      </c>
      <c r="J39" s="12"/>
      <c r="K39" s="7"/>
      <c r="L39" s="80"/>
    </row>
    <row r="40" spans="3:12" ht="12.75">
      <c r="C40" s="79"/>
      <c r="D40" s="6"/>
      <c r="E40" s="10">
        <f t="shared" si="0"/>
        <v>0</v>
      </c>
      <c r="F40" s="10">
        <f t="shared" si="4"/>
        <v>0</v>
      </c>
      <c r="G40" s="15"/>
      <c r="H40" s="132"/>
      <c r="I40" s="138">
        <f t="shared" si="5"/>
      </c>
      <c r="J40" s="12"/>
      <c r="K40" s="7"/>
      <c r="L40" s="80"/>
    </row>
    <row r="41" spans="3:12" ht="12.75">
      <c r="C41" s="79"/>
      <c r="D41" s="6"/>
      <c r="E41" s="10">
        <f t="shared" si="0"/>
        <v>0</v>
      </c>
      <c r="F41" s="10">
        <f t="shared" si="4"/>
        <v>0</v>
      </c>
      <c r="G41" s="15"/>
      <c r="H41" s="132"/>
      <c r="I41" s="138">
        <f t="shared" si="5"/>
      </c>
      <c r="J41" s="12"/>
      <c r="K41" s="7"/>
      <c r="L41" s="80"/>
    </row>
    <row r="42" spans="3:12" ht="12.75">
      <c r="C42" s="79"/>
      <c r="D42" s="6"/>
      <c r="E42" s="10">
        <f t="shared" si="0"/>
        <v>0</v>
      </c>
      <c r="F42" s="10">
        <f t="shared" si="4"/>
        <v>0</v>
      </c>
      <c r="G42" s="15"/>
      <c r="H42" s="132"/>
      <c r="I42" s="138">
        <f t="shared" si="5"/>
      </c>
      <c r="J42" s="12"/>
      <c r="K42" s="7"/>
      <c r="L42" s="80"/>
    </row>
    <row r="43" spans="3:12" ht="12.75">
      <c r="C43" s="79"/>
      <c r="D43" s="6"/>
      <c r="E43" s="10">
        <f t="shared" si="0"/>
        <v>0</v>
      </c>
      <c r="F43" s="10">
        <f t="shared" si="4"/>
        <v>0</v>
      </c>
      <c r="G43" s="15"/>
      <c r="H43" s="132"/>
      <c r="I43" s="138">
        <f t="shared" si="5"/>
      </c>
      <c r="J43" s="12"/>
      <c r="K43" s="7"/>
      <c r="L43" s="80"/>
    </row>
    <row r="44" spans="3:12" ht="12.75">
      <c r="C44" s="79"/>
      <c r="D44" s="6"/>
      <c r="E44" s="10">
        <f t="shared" si="0"/>
        <v>0</v>
      </c>
      <c r="F44" s="10">
        <f t="shared" si="4"/>
        <v>0</v>
      </c>
      <c r="G44" s="15"/>
      <c r="H44" s="132"/>
      <c r="I44" s="138">
        <f t="shared" si="5"/>
      </c>
      <c r="J44" s="12"/>
      <c r="K44" s="7"/>
      <c r="L44" s="80"/>
    </row>
    <row r="45" spans="3:12" ht="12.75">
      <c r="C45" s="79"/>
      <c r="D45" s="6"/>
      <c r="E45" s="10">
        <f t="shared" si="0"/>
        <v>0</v>
      </c>
      <c r="F45" s="10">
        <f t="shared" si="4"/>
        <v>0</v>
      </c>
      <c r="G45" s="15"/>
      <c r="H45" s="132"/>
      <c r="I45" s="138">
        <f t="shared" si="5"/>
      </c>
      <c r="J45" s="12"/>
      <c r="K45" s="7"/>
      <c r="L45" s="80"/>
    </row>
    <row r="46" spans="3:12" ht="12.75">
      <c r="C46" s="79"/>
      <c r="D46" s="6"/>
      <c r="E46" s="10">
        <f t="shared" si="0"/>
        <v>0</v>
      </c>
      <c r="F46" s="10">
        <f t="shared" si="4"/>
        <v>0</v>
      </c>
      <c r="G46" s="15"/>
      <c r="H46" s="132"/>
      <c r="I46" s="138">
        <f t="shared" si="5"/>
      </c>
      <c r="J46" s="12"/>
      <c r="K46" s="7"/>
      <c r="L46" s="80"/>
    </row>
    <row r="47" spans="3:12" ht="13.5" thickBot="1">
      <c r="C47" s="81"/>
      <c r="D47" s="82"/>
      <c r="E47" s="83">
        <f t="shared" si="0"/>
        <v>0</v>
      </c>
      <c r="F47" s="83">
        <f t="shared" si="4"/>
        <v>0</v>
      </c>
      <c r="G47" s="84"/>
      <c r="H47" s="133"/>
      <c r="I47" s="139">
        <f t="shared" si="5"/>
      </c>
      <c r="J47" s="85"/>
      <c r="K47" s="86"/>
      <c r="L47" s="87"/>
    </row>
  </sheetData>
  <sheetProtection/>
  <autoFilter ref="C6:L34"/>
  <mergeCells count="23">
    <mergeCell ref="C4:C5"/>
    <mergeCell ref="D4:D5"/>
    <mergeCell ref="E4:E5"/>
    <mergeCell ref="F4:F5"/>
    <mergeCell ref="J4:J5"/>
    <mergeCell ref="L4:L5"/>
    <mergeCell ref="H4:I4"/>
    <mergeCell ref="O1:S1"/>
    <mergeCell ref="O4:O5"/>
    <mergeCell ref="Q4:Q5"/>
    <mergeCell ref="S4:S5"/>
    <mergeCell ref="N19:O19"/>
    <mergeCell ref="N21:O21"/>
    <mergeCell ref="N20:O20"/>
    <mergeCell ref="N18:O18"/>
    <mergeCell ref="N29:O29"/>
    <mergeCell ref="N22:O22"/>
    <mergeCell ref="N23:O23"/>
    <mergeCell ref="N24:O24"/>
    <mergeCell ref="N25:O25"/>
    <mergeCell ref="N26:O26"/>
    <mergeCell ref="N27:O27"/>
    <mergeCell ref="N28:O28"/>
  </mergeCells>
  <conditionalFormatting sqref="J46:L47 C46:I46">
    <cfRule type="expression" priority="1" dxfId="0" stopIfTrue="1">
      <formula>$G46&lt;0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Leoanrdi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rafael.silva</dc:creator>
  <cp:keywords/>
  <dc:description/>
  <cp:lastModifiedBy>Altemar Mota</cp:lastModifiedBy>
  <dcterms:created xsi:type="dcterms:W3CDTF">2010-03-08T13:32:18Z</dcterms:created>
  <dcterms:modified xsi:type="dcterms:W3CDTF">2017-05-05T17:03:58Z</dcterms:modified>
  <cp:category/>
  <cp:version/>
  <cp:contentType/>
  <cp:contentStatus/>
</cp:coreProperties>
</file>